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S:\Common\Ryan\Wool.com\CONTENT\20170322 Farmer Footrot\"/>
    </mc:Choice>
  </mc:AlternateContent>
  <bookViews>
    <workbookView xWindow="0" yWindow="0" windowWidth="19200" windowHeight="7482"/>
  </bookViews>
  <sheets>
    <sheet name="Instructions" sheetId="21" r:id="rId1"/>
    <sheet name="Step 1" sheetId="15" r:id="rId2"/>
    <sheet name="Step 2" sheetId="20" r:id="rId3"/>
    <sheet name="Step 3" sheetId="19" r:id="rId4"/>
    <sheet name="Step 4" sheetId="22" r:id="rId5"/>
    <sheet name="Worksheet (1)" sheetId="24" r:id="rId6"/>
    <sheet name="Worksheet (2)" sheetId="27" r:id="rId7"/>
    <sheet name="Worksheet (3)" sheetId="28" r:id="rId8"/>
  </sheets>
  <definedNames>
    <definedName name="_xlnm.Print_Area" localSheetId="3">'Step 3'!$A$1:$J$150</definedName>
    <definedName name="_xlnm.Print_Area" localSheetId="4">'Step 4'!$A$1:$F$89</definedName>
  </definedNames>
  <calcPr calcId="171027" concurrentCalc="0"/>
</workbook>
</file>

<file path=xl/calcChain.xml><?xml version="1.0" encoding="utf-8"?>
<calcChain xmlns="http://schemas.openxmlformats.org/spreadsheetml/2006/main">
  <c r="D28" i="15" l="1"/>
  <c r="D11" i="24"/>
  <c r="F11" i="24"/>
  <c r="G11" i="24"/>
  <c r="I11" i="24"/>
  <c r="D29" i="15"/>
  <c r="D12" i="24"/>
  <c r="F12" i="24"/>
  <c r="G12" i="24"/>
  <c r="I12" i="24"/>
  <c r="G14" i="15"/>
  <c r="D30" i="15"/>
  <c r="D13" i="24"/>
  <c r="F13" i="24"/>
  <c r="G13" i="24"/>
  <c r="I13" i="24"/>
  <c r="D17" i="15"/>
  <c r="G17" i="15"/>
  <c r="D20" i="15"/>
  <c r="G20" i="15"/>
  <c r="D31" i="15"/>
  <c r="D14" i="24"/>
  <c r="F14" i="24"/>
  <c r="G14" i="24"/>
  <c r="I14" i="24"/>
  <c r="I15" i="24"/>
  <c r="G15" i="15"/>
  <c r="G16" i="15"/>
  <c r="D34" i="15"/>
  <c r="D17" i="24"/>
  <c r="F17" i="24"/>
  <c r="I17" i="24"/>
  <c r="G19" i="15"/>
  <c r="D35" i="15"/>
  <c r="D18" i="24"/>
  <c r="F18" i="24"/>
  <c r="I18" i="24"/>
  <c r="G22" i="15"/>
  <c r="D36" i="15"/>
  <c r="D19" i="24"/>
  <c r="F19" i="24"/>
  <c r="I19" i="24"/>
  <c r="G21" i="15"/>
  <c r="D37" i="15"/>
  <c r="D20" i="24"/>
  <c r="F20" i="24"/>
  <c r="I20" i="24"/>
  <c r="I21" i="24"/>
  <c r="D42" i="15"/>
  <c r="D25" i="24"/>
  <c r="F25" i="24"/>
  <c r="I25" i="24"/>
  <c r="I26" i="24"/>
  <c r="I27" i="24"/>
  <c r="D32" i="15"/>
  <c r="D47" i="15"/>
  <c r="D30" i="24"/>
  <c r="F30" i="24"/>
  <c r="I30" i="24"/>
  <c r="D48" i="15"/>
  <c r="D31" i="24"/>
  <c r="F31" i="24"/>
  <c r="I31" i="24"/>
  <c r="I32" i="24"/>
  <c r="D33" i="24"/>
  <c r="F33" i="24"/>
  <c r="I33" i="24"/>
  <c r="F32" i="15"/>
  <c r="D51" i="15"/>
  <c r="D34" i="24"/>
  <c r="F34" i="24"/>
  <c r="I34" i="24"/>
  <c r="F35" i="24"/>
  <c r="I35" i="24"/>
  <c r="D36" i="24"/>
  <c r="F36" i="24"/>
  <c r="I36" i="24"/>
  <c r="I37" i="24"/>
  <c r="I38" i="24"/>
  <c r="C20" i="22"/>
  <c r="C7" i="22"/>
  <c r="C75" i="22"/>
  <c r="C12" i="22"/>
  <c r="C11" i="22"/>
  <c r="C9" i="22"/>
  <c r="C10" i="22"/>
  <c r="C13" i="22"/>
  <c r="C57" i="22"/>
  <c r="D18" i="28"/>
  <c r="D12" i="28"/>
  <c r="D273" i="28"/>
  <c r="C44" i="28"/>
  <c r="E14" i="20"/>
  <c r="E37" i="20"/>
  <c r="G14" i="20"/>
  <c r="E44" i="28"/>
  <c r="C45" i="28"/>
  <c r="E19" i="20"/>
  <c r="E42" i="20"/>
  <c r="G19" i="20"/>
  <c r="J45" i="28"/>
  <c r="F141" i="28"/>
  <c r="C46" i="28"/>
  <c r="E17" i="20"/>
  <c r="E40" i="20"/>
  <c r="G17" i="20"/>
  <c r="H46" i="28"/>
  <c r="F168" i="28"/>
  <c r="C47" i="28"/>
  <c r="J47" i="28"/>
  <c r="F211" i="28"/>
  <c r="C48" i="28"/>
  <c r="E48" i="28"/>
  <c r="C49" i="28"/>
  <c r="C50" i="28"/>
  <c r="I28" i="15"/>
  <c r="I29" i="15"/>
  <c r="I30" i="15"/>
  <c r="I31" i="15"/>
  <c r="I32" i="15"/>
  <c r="G32" i="15"/>
  <c r="E21" i="20"/>
  <c r="E44" i="20"/>
  <c r="G21" i="20"/>
  <c r="L50" i="28"/>
  <c r="G304" i="28"/>
  <c r="C51" i="28"/>
  <c r="J51" i="28"/>
  <c r="F351" i="28"/>
  <c r="C52" i="28"/>
  <c r="H52" i="28"/>
  <c r="F378" i="28"/>
  <c r="E399" i="28"/>
  <c r="E364" i="28"/>
  <c r="E329" i="28"/>
  <c r="E294" i="28"/>
  <c r="E259" i="28"/>
  <c r="E224" i="28"/>
  <c r="E189" i="28"/>
  <c r="E154" i="28"/>
  <c r="F35" i="28"/>
  <c r="F121" i="28"/>
  <c r="E119" i="28"/>
  <c r="D4" i="28"/>
  <c r="K109" i="28"/>
  <c r="F36" i="28"/>
  <c r="F87" i="28"/>
  <c r="E84" i="28"/>
  <c r="K75" i="28"/>
  <c r="D11" i="28"/>
  <c r="D59" i="28"/>
  <c r="L52" i="28"/>
  <c r="G374" i="28"/>
  <c r="J49" i="28"/>
  <c r="F281" i="28"/>
  <c r="E18" i="20"/>
  <c r="E41" i="20"/>
  <c r="G18" i="20"/>
  <c r="I46" i="28"/>
  <c r="F175" i="28"/>
  <c r="H44" i="28"/>
  <c r="F98" i="28"/>
  <c r="F34" i="28"/>
  <c r="D34" i="28"/>
  <c r="I35" i="28"/>
  <c r="F33" i="28"/>
  <c r="F84" i="28"/>
  <c r="D31" i="28"/>
  <c r="F31" i="28"/>
  <c r="I31" i="28"/>
  <c r="K31" i="28"/>
  <c r="F82" i="28"/>
  <c r="E31" i="28"/>
  <c r="F30" i="28"/>
  <c r="E30" i="28"/>
  <c r="E33" i="28"/>
  <c r="D30" i="28"/>
  <c r="D33" i="28"/>
  <c r="I33" i="28"/>
  <c r="F25" i="28"/>
  <c r="D25" i="28"/>
  <c r="D76" i="28"/>
  <c r="F20" i="28"/>
  <c r="D20" i="28"/>
  <c r="I20" i="28"/>
  <c r="D19" i="28"/>
  <c r="F19" i="28"/>
  <c r="I19" i="28"/>
  <c r="K19" i="28"/>
  <c r="F18" i="28"/>
  <c r="I18" i="28"/>
  <c r="K18" i="28"/>
  <c r="F17" i="28"/>
  <c r="D17" i="28"/>
  <c r="G15" i="28"/>
  <c r="F15" i="28"/>
  <c r="G14" i="28"/>
  <c r="F14" i="28"/>
  <c r="D14" i="28"/>
  <c r="I14" i="28"/>
  <c r="G13" i="28"/>
  <c r="F13" i="28"/>
  <c r="D13" i="28"/>
  <c r="I13" i="28"/>
  <c r="G12" i="28"/>
  <c r="F12" i="28"/>
  <c r="G11" i="28"/>
  <c r="F11" i="28"/>
  <c r="D164" i="28"/>
  <c r="D6" i="28"/>
  <c r="D5" i="28"/>
  <c r="K74" i="28"/>
  <c r="D18" i="27"/>
  <c r="D12" i="27"/>
  <c r="D273" i="27"/>
  <c r="C44" i="27"/>
  <c r="E15" i="20"/>
  <c r="E38" i="20"/>
  <c r="G15" i="20"/>
  <c r="F44" i="27"/>
  <c r="C45" i="27"/>
  <c r="L45" i="27"/>
  <c r="G129" i="27"/>
  <c r="C46" i="27"/>
  <c r="H46" i="27"/>
  <c r="F168" i="27"/>
  <c r="C47" i="27"/>
  <c r="J47" i="27"/>
  <c r="F211" i="27"/>
  <c r="C48" i="27"/>
  <c r="J48" i="27"/>
  <c r="F246" i="27"/>
  <c r="C49" i="27"/>
  <c r="L49" i="27"/>
  <c r="G269" i="27"/>
  <c r="C50" i="27"/>
  <c r="H50" i="27"/>
  <c r="F308" i="27"/>
  <c r="C51" i="27"/>
  <c r="J51" i="27"/>
  <c r="F351" i="27"/>
  <c r="C52" i="27"/>
  <c r="F52" i="27"/>
  <c r="E399" i="27"/>
  <c r="E364" i="27"/>
  <c r="E329" i="27"/>
  <c r="E294" i="27"/>
  <c r="E259" i="27"/>
  <c r="E224" i="27"/>
  <c r="E189" i="27"/>
  <c r="D25" i="27"/>
  <c r="D181" i="27"/>
  <c r="F33" i="27"/>
  <c r="F154" i="27"/>
  <c r="E154" i="27"/>
  <c r="D141" i="27"/>
  <c r="E119" i="27"/>
  <c r="E84" i="27"/>
  <c r="D5" i="27"/>
  <c r="J74" i="27"/>
  <c r="D71" i="27"/>
  <c r="H52" i="27"/>
  <c r="F378" i="27"/>
  <c r="I50" i="27"/>
  <c r="F315" i="27"/>
  <c r="E20" i="20"/>
  <c r="E43" i="20"/>
  <c r="G20" i="20"/>
  <c r="K49" i="27"/>
  <c r="F269" i="27"/>
  <c r="L47" i="27"/>
  <c r="G199" i="27"/>
  <c r="I46" i="27"/>
  <c r="F175" i="27"/>
  <c r="I45" i="27"/>
  <c r="F140" i="27"/>
  <c r="H44" i="27"/>
  <c r="F98" i="27"/>
  <c r="F36" i="27"/>
  <c r="F35" i="27"/>
  <c r="F34" i="27"/>
  <c r="D34" i="27"/>
  <c r="I34" i="27"/>
  <c r="E30" i="27"/>
  <c r="E33" i="27"/>
  <c r="F31" i="27"/>
  <c r="F362" i="27"/>
  <c r="E31" i="27"/>
  <c r="D31" i="27"/>
  <c r="I31" i="27"/>
  <c r="F30" i="27"/>
  <c r="F151" i="27"/>
  <c r="D30" i="27"/>
  <c r="D33" i="27"/>
  <c r="I33" i="27"/>
  <c r="F25" i="27"/>
  <c r="I25" i="27"/>
  <c r="D76" i="27"/>
  <c r="D20" i="27"/>
  <c r="F20" i="27"/>
  <c r="I20" i="27"/>
  <c r="D4" i="27"/>
  <c r="K20" i="27"/>
  <c r="F19" i="27"/>
  <c r="D19" i="27"/>
  <c r="F18" i="27"/>
  <c r="F17" i="27"/>
  <c r="D17" i="27"/>
  <c r="I17" i="27"/>
  <c r="G15" i="27"/>
  <c r="F15" i="27"/>
  <c r="G14" i="27"/>
  <c r="F14" i="27"/>
  <c r="D14" i="27"/>
  <c r="I14" i="27"/>
  <c r="D13" i="27"/>
  <c r="F13" i="27"/>
  <c r="G13" i="27"/>
  <c r="I13" i="27"/>
  <c r="K13" i="27"/>
  <c r="G12" i="27"/>
  <c r="F12" i="27"/>
  <c r="I12" i="27"/>
  <c r="D11" i="27"/>
  <c r="F11" i="27"/>
  <c r="G11" i="27"/>
  <c r="I11" i="27"/>
  <c r="K11" i="27"/>
  <c r="D6" i="27"/>
  <c r="E140" i="19"/>
  <c r="F140" i="19"/>
  <c r="D98" i="27"/>
  <c r="G140" i="19"/>
  <c r="D98" i="28"/>
  <c r="E141" i="19"/>
  <c r="F141" i="19"/>
  <c r="D133" i="27"/>
  <c r="G141" i="19"/>
  <c r="D133" i="28"/>
  <c r="E142" i="19"/>
  <c r="F142" i="19"/>
  <c r="D168" i="27"/>
  <c r="G142" i="19"/>
  <c r="D168" i="28"/>
  <c r="E143" i="19"/>
  <c r="F143" i="19"/>
  <c r="D203" i="27"/>
  <c r="G143" i="19"/>
  <c r="D203" i="28"/>
  <c r="E144" i="19"/>
  <c r="F144" i="19"/>
  <c r="D238" i="27"/>
  <c r="G144" i="19"/>
  <c r="D238" i="28"/>
  <c r="E145" i="19"/>
  <c r="F145" i="19"/>
  <c r="D272" i="27"/>
  <c r="G145" i="19"/>
  <c r="D272" i="28"/>
  <c r="E146" i="19"/>
  <c r="F146" i="19"/>
  <c r="D308" i="27"/>
  <c r="G146" i="19"/>
  <c r="D308" i="28"/>
  <c r="E147" i="19"/>
  <c r="F147" i="19"/>
  <c r="D343" i="27"/>
  <c r="G147" i="19"/>
  <c r="D343" i="28"/>
  <c r="E148" i="19"/>
  <c r="F148" i="19"/>
  <c r="D378" i="27"/>
  <c r="G148" i="19"/>
  <c r="D378" i="28"/>
  <c r="E13" i="20"/>
  <c r="E36" i="20"/>
  <c r="G13" i="20"/>
  <c r="D45" i="27"/>
  <c r="H49" i="27"/>
  <c r="F273" i="27"/>
  <c r="K45" i="27"/>
  <c r="F129" i="27"/>
  <c r="D49" i="27"/>
  <c r="H45" i="27"/>
  <c r="F133" i="27"/>
  <c r="D48" i="27"/>
  <c r="I49" i="27"/>
  <c r="F280" i="27"/>
  <c r="H48" i="28"/>
  <c r="F238" i="28"/>
  <c r="J46" i="27"/>
  <c r="F176" i="27"/>
  <c r="J50" i="27"/>
  <c r="F316" i="27"/>
  <c r="K52" i="28"/>
  <c r="F374" i="28"/>
  <c r="L50" i="27"/>
  <c r="G304" i="27"/>
  <c r="K44" i="28"/>
  <c r="F94" i="28"/>
  <c r="K48" i="28"/>
  <c r="F234" i="28"/>
  <c r="D52" i="28"/>
  <c r="D380" i="28"/>
  <c r="E45" i="27"/>
  <c r="D136" i="27"/>
  <c r="J45" i="27"/>
  <c r="F141" i="27"/>
  <c r="F46" i="27"/>
  <c r="E49" i="27"/>
  <c r="J49" i="27"/>
  <c r="F281" i="27"/>
  <c r="F50" i="27"/>
  <c r="D44" i="28"/>
  <c r="L44" i="28"/>
  <c r="G94" i="28"/>
  <c r="D48" i="28"/>
  <c r="D240" i="28"/>
  <c r="L48" i="28"/>
  <c r="G234" i="28"/>
  <c r="E52" i="28"/>
  <c r="D46" i="27"/>
  <c r="L46" i="27"/>
  <c r="G164" i="27"/>
  <c r="D50" i="27"/>
  <c r="I44" i="28"/>
  <c r="F105" i="28"/>
  <c r="I48" i="28"/>
  <c r="F245" i="28"/>
  <c r="F45" i="27"/>
  <c r="D138" i="27"/>
  <c r="F49" i="27"/>
  <c r="I52" i="28"/>
  <c r="F385" i="28"/>
  <c r="L48" i="27"/>
  <c r="G234" i="27"/>
  <c r="D307" i="27"/>
  <c r="E307" i="27"/>
  <c r="D97" i="27"/>
  <c r="F51" i="27"/>
  <c r="D348" i="27"/>
  <c r="D167" i="27"/>
  <c r="E167" i="27"/>
  <c r="D377" i="27"/>
  <c r="L51" i="27"/>
  <c r="G339" i="27"/>
  <c r="D237" i="27"/>
  <c r="F47" i="27"/>
  <c r="D208" i="27"/>
  <c r="D132" i="28"/>
  <c r="E132" i="28"/>
  <c r="D202" i="28"/>
  <c r="E202" i="28"/>
  <c r="D342" i="28"/>
  <c r="I44" i="27"/>
  <c r="F105" i="27"/>
  <c r="J44" i="27"/>
  <c r="F106" i="27"/>
  <c r="F48" i="27"/>
  <c r="D243" i="27"/>
  <c r="I52" i="27"/>
  <c r="F385" i="27"/>
  <c r="J52" i="27"/>
  <c r="F386" i="27"/>
  <c r="L46" i="28"/>
  <c r="G164" i="28"/>
  <c r="K46" i="28"/>
  <c r="F164" i="28"/>
  <c r="I164" i="28"/>
  <c r="E50" i="28"/>
  <c r="D311" i="28"/>
  <c r="D44" i="27"/>
  <c r="L44" i="27"/>
  <c r="G94" i="27"/>
  <c r="H48" i="27"/>
  <c r="F238" i="27"/>
  <c r="D52" i="27"/>
  <c r="L52" i="27"/>
  <c r="G374" i="27"/>
  <c r="D132" i="27"/>
  <c r="E132" i="27"/>
  <c r="D202" i="27"/>
  <c r="E202" i="27"/>
  <c r="D342" i="27"/>
  <c r="D190" i="28"/>
  <c r="H50" i="28"/>
  <c r="F308" i="28"/>
  <c r="D97" i="28"/>
  <c r="D167" i="28"/>
  <c r="D237" i="28"/>
  <c r="E237" i="28"/>
  <c r="D307" i="28"/>
  <c r="D377" i="28"/>
  <c r="I48" i="27"/>
  <c r="F245" i="27"/>
  <c r="D46" i="28"/>
  <c r="D170" i="28"/>
  <c r="C76" i="22"/>
  <c r="C77" i="22"/>
  <c r="C78" i="22"/>
  <c r="C79" i="22"/>
  <c r="C80" i="22"/>
  <c r="C81" i="22"/>
  <c r="C82" i="22"/>
  <c r="C83" i="22"/>
  <c r="C84" i="22"/>
  <c r="C58" i="22"/>
  <c r="C59" i="22"/>
  <c r="C60" i="22"/>
  <c r="C61" i="22"/>
  <c r="C62" i="22"/>
  <c r="C63" i="22"/>
  <c r="C64" i="22"/>
  <c r="C65" i="22"/>
  <c r="C66" i="22"/>
  <c r="E46" i="28"/>
  <c r="D171" i="28"/>
  <c r="K50" i="28"/>
  <c r="F304" i="28"/>
  <c r="I50" i="28"/>
  <c r="F315" i="28"/>
  <c r="D50" i="28"/>
  <c r="D310" i="28"/>
  <c r="K14" i="28"/>
  <c r="J14" i="28"/>
  <c r="K13" i="28"/>
  <c r="J13" i="28"/>
  <c r="K20" i="28"/>
  <c r="J20" i="28"/>
  <c r="K33" i="28"/>
  <c r="J33" i="28"/>
  <c r="J35" i="28"/>
  <c r="K35" i="28"/>
  <c r="E377" i="28"/>
  <c r="E272" i="28"/>
  <c r="E167" i="28"/>
  <c r="J18" i="28"/>
  <c r="D21" i="28"/>
  <c r="E16" i="20"/>
  <c r="E39" i="20"/>
  <c r="G16" i="20"/>
  <c r="G45" i="28"/>
  <c r="F132" i="28"/>
  <c r="I11" i="28"/>
  <c r="E308" i="28"/>
  <c r="E378" i="28"/>
  <c r="E343" i="28"/>
  <c r="E238" i="28"/>
  <c r="E203" i="28"/>
  <c r="E273" i="28"/>
  <c r="E168" i="28"/>
  <c r="J19" i="28"/>
  <c r="F286" i="28"/>
  <c r="F391" i="28"/>
  <c r="F356" i="28"/>
  <c r="F216" i="28"/>
  <c r="F181" i="28"/>
  <c r="F251" i="28"/>
  <c r="F146" i="28"/>
  <c r="F326" i="28"/>
  <c r="F291" i="28"/>
  <c r="F396" i="28"/>
  <c r="F256" i="28"/>
  <c r="F221" i="28"/>
  <c r="F186" i="28"/>
  <c r="F116" i="28"/>
  <c r="J31" i="28"/>
  <c r="F295" i="28"/>
  <c r="F400" i="28"/>
  <c r="F365" i="28"/>
  <c r="F225" i="28"/>
  <c r="F330" i="28"/>
  <c r="F190" i="28"/>
  <c r="F260" i="28"/>
  <c r="F155" i="28"/>
  <c r="F296" i="28"/>
  <c r="F401" i="28"/>
  <c r="F366" i="28"/>
  <c r="F331" i="28"/>
  <c r="F226" i="28"/>
  <c r="F191" i="28"/>
  <c r="F156" i="28"/>
  <c r="D36" i="28"/>
  <c r="I36" i="28"/>
  <c r="F44" i="28"/>
  <c r="D103" i="28"/>
  <c r="J44" i="28"/>
  <c r="F106" i="28"/>
  <c r="D45" i="28"/>
  <c r="D135" i="28"/>
  <c r="H45" i="28"/>
  <c r="F133" i="28"/>
  <c r="L45" i="28"/>
  <c r="G129" i="28"/>
  <c r="F46" i="28"/>
  <c r="D173" i="28"/>
  <c r="J46" i="28"/>
  <c r="F176" i="28"/>
  <c r="D47" i="28"/>
  <c r="D205" i="28"/>
  <c r="H47" i="28"/>
  <c r="F203" i="28"/>
  <c r="L47" i="28"/>
  <c r="G199" i="28"/>
  <c r="F48" i="28"/>
  <c r="D243" i="28"/>
  <c r="J48" i="28"/>
  <c r="F246" i="28"/>
  <c r="D49" i="28"/>
  <c r="D275" i="28"/>
  <c r="H49" i="28"/>
  <c r="F273" i="28"/>
  <c r="L49" i="28"/>
  <c r="G269" i="28"/>
  <c r="F50" i="28"/>
  <c r="D313" i="28"/>
  <c r="J50" i="28"/>
  <c r="F316" i="28"/>
  <c r="D51" i="28"/>
  <c r="D345" i="28"/>
  <c r="H51" i="28"/>
  <c r="F343" i="28"/>
  <c r="L51" i="28"/>
  <c r="G339" i="28"/>
  <c r="F52" i="28"/>
  <c r="D383" i="28"/>
  <c r="J52" i="28"/>
  <c r="F386" i="28"/>
  <c r="D71" i="28"/>
  <c r="J74" i="28"/>
  <c r="F81" i="28"/>
  <c r="F86" i="28"/>
  <c r="F111" i="28"/>
  <c r="F117" i="28"/>
  <c r="J144" i="28"/>
  <c r="F151" i="28"/>
  <c r="K249" i="28"/>
  <c r="F321" i="28"/>
  <c r="F361" i="28"/>
  <c r="J390" i="28"/>
  <c r="J319" i="28"/>
  <c r="J355" i="28"/>
  <c r="J389" i="28"/>
  <c r="J320" i="28"/>
  <c r="J249" i="28"/>
  <c r="J285" i="28"/>
  <c r="J214" i="28"/>
  <c r="J284" i="28"/>
  <c r="J250" i="28"/>
  <c r="J354" i="28"/>
  <c r="J215" i="28"/>
  <c r="J180" i="28"/>
  <c r="J145" i="28"/>
  <c r="J179" i="28"/>
  <c r="J110" i="28"/>
  <c r="D321" i="28"/>
  <c r="I321" i="28"/>
  <c r="D316" i="28"/>
  <c r="D286" i="28"/>
  <c r="I286" i="28"/>
  <c r="D391" i="28"/>
  <c r="I391" i="28"/>
  <c r="D386" i="28"/>
  <c r="D251" i="28"/>
  <c r="I251" i="28"/>
  <c r="D246" i="28"/>
  <c r="I246" i="28"/>
  <c r="D351" i="28"/>
  <c r="I351" i="28"/>
  <c r="D216" i="28"/>
  <c r="D211" i="28"/>
  <c r="I211" i="28"/>
  <c r="D356" i="28"/>
  <c r="I356" i="28"/>
  <c r="D281" i="28"/>
  <c r="I281" i="28"/>
  <c r="D111" i="28"/>
  <c r="D181" i="28"/>
  <c r="I181" i="28"/>
  <c r="D176" i="28"/>
  <c r="F329" i="28"/>
  <c r="F294" i="28"/>
  <c r="F399" i="28"/>
  <c r="F259" i="28"/>
  <c r="F364" i="28"/>
  <c r="F224" i="28"/>
  <c r="F189" i="28"/>
  <c r="F119" i="28"/>
  <c r="G47" i="28"/>
  <c r="F202" i="28"/>
  <c r="K47" i="28"/>
  <c r="F199" i="28"/>
  <c r="G49" i="28"/>
  <c r="F272" i="28"/>
  <c r="K49" i="28"/>
  <c r="F269" i="28"/>
  <c r="D381" i="28"/>
  <c r="D339" i="28"/>
  <c r="D304" i="28"/>
  <c r="D269" i="28"/>
  <c r="D234" i="28"/>
  <c r="D241" i="28"/>
  <c r="D199" i="28"/>
  <c r="D129" i="28"/>
  <c r="D94" i="28"/>
  <c r="D374" i="28"/>
  <c r="D101" i="28"/>
  <c r="D15" i="28"/>
  <c r="I17" i="28"/>
  <c r="I25" i="28"/>
  <c r="I30" i="28"/>
  <c r="I34" i="28"/>
  <c r="F402" i="28"/>
  <c r="F367" i="28"/>
  <c r="F332" i="28"/>
  <c r="F297" i="28"/>
  <c r="F192" i="28"/>
  <c r="F262" i="28"/>
  <c r="F157" i="28"/>
  <c r="F122" i="28"/>
  <c r="G44" i="28"/>
  <c r="F97" i="28"/>
  <c r="E45" i="28"/>
  <c r="D136" i="28"/>
  <c r="I45" i="28"/>
  <c r="F140" i="28"/>
  <c r="G46" i="28"/>
  <c r="F167" i="28"/>
  <c r="E47" i="28"/>
  <c r="D206" i="28"/>
  <c r="I47" i="28"/>
  <c r="F210" i="28"/>
  <c r="G48" i="28"/>
  <c r="F237" i="28"/>
  <c r="E49" i="28"/>
  <c r="D276" i="28"/>
  <c r="I49" i="28"/>
  <c r="F280" i="28"/>
  <c r="G50" i="28"/>
  <c r="F307" i="28"/>
  <c r="E51" i="28"/>
  <c r="D346" i="28"/>
  <c r="I51" i="28"/>
  <c r="F350" i="28"/>
  <c r="G52" i="28"/>
  <c r="F377" i="28"/>
  <c r="F76" i="28"/>
  <c r="I76" i="28"/>
  <c r="F85" i="28"/>
  <c r="D100" i="28"/>
  <c r="D146" i="28"/>
  <c r="I146" i="28"/>
  <c r="F227" i="28"/>
  <c r="F261" i="28"/>
  <c r="K45" i="28"/>
  <c r="F129" i="28"/>
  <c r="G51" i="28"/>
  <c r="F342" i="28"/>
  <c r="K51" i="28"/>
  <c r="F339" i="28"/>
  <c r="K355" i="28"/>
  <c r="K284" i="28"/>
  <c r="K389" i="28"/>
  <c r="K320" i="28"/>
  <c r="K354" i="28"/>
  <c r="K285" i="28"/>
  <c r="K319" i="28"/>
  <c r="K214" i="28"/>
  <c r="K390" i="28"/>
  <c r="K250" i="28"/>
  <c r="K215" i="28"/>
  <c r="K145" i="28"/>
  <c r="K179" i="28"/>
  <c r="K110" i="28"/>
  <c r="K144" i="28"/>
  <c r="I12" i="28"/>
  <c r="F292" i="28"/>
  <c r="F397" i="28"/>
  <c r="F362" i="28"/>
  <c r="F222" i="28"/>
  <c r="F187" i="28"/>
  <c r="F327" i="28"/>
  <c r="F257" i="28"/>
  <c r="F152" i="28"/>
  <c r="F45" i="28"/>
  <c r="D138" i="28"/>
  <c r="F47" i="28"/>
  <c r="D208" i="28"/>
  <c r="F49" i="28"/>
  <c r="D278" i="28"/>
  <c r="F51" i="28"/>
  <c r="D348" i="28"/>
  <c r="J75" i="28"/>
  <c r="E98" i="28"/>
  <c r="D106" i="28"/>
  <c r="J109" i="28"/>
  <c r="F120" i="28"/>
  <c r="E133" i="28"/>
  <c r="D141" i="28"/>
  <c r="I141" i="28"/>
  <c r="F154" i="28"/>
  <c r="K180" i="28"/>
  <c r="K47" i="27"/>
  <c r="F199" i="27"/>
  <c r="H47" i="27"/>
  <c r="F203" i="27"/>
  <c r="K51" i="27"/>
  <c r="F339" i="27"/>
  <c r="H51" i="27"/>
  <c r="F343" i="27"/>
  <c r="D47" i="27"/>
  <c r="I47" i="27"/>
  <c r="F210" i="27"/>
  <c r="D51" i="27"/>
  <c r="I51" i="27"/>
  <c r="F350" i="27"/>
  <c r="E47" i="27"/>
  <c r="D206" i="27"/>
  <c r="E51" i="27"/>
  <c r="D346" i="27"/>
  <c r="I141" i="27"/>
  <c r="J141" i="27"/>
  <c r="K17" i="27"/>
  <c r="J17" i="27"/>
  <c r="I168" i="27"/>
  <c r="D174" i="27"/>
  <c r="K25" i="27"/>
  <c r="J25" i="27"/>
  <c r="I26" i="27"/>
  <c r="J31" i="27"/>
  <c r="K31" i="27"/>
  <c r="J12" i="27"/>
  <c r="K12" i="27"/>
  <c r="K14" i="27"/>
  <c r="K15" i="27"/>
  <c r="F76" i="27"/>
  <c r="I76" i="27"/>
  <c r="K33" i="27"/>
  <c r="J33" i="27"/>
  <c r="J14" i="27"/>
  <c r="K34" i="27"/>
  <c r="J34" i="27"/>
  <c r="I15" i="27"/>
  <c r="F331" i="27"/>
  <c r="F296" i="27"/>
  <c r="F401" i="27"/>
  <c r="F366" i="27"/>
  <c r="F226" i="27"/>
  <c r="F261" i="27"/>
  <c r="F191" i="27"/>
  <c r="F86" i="27"/>
  <c r="F156" i="27"/>
  <c r="F257" i="27"/>
  <c r="D374" i="27"/>
  <c r="D339" i="27"/>
  <c r="D304" i="27"/>
  <c r="D269" i="27"/>
  <c r="D276" i="27"/>
  <c r="D234" i="27"/>
  <c r="D199" i="27"/>
  <c r="D129" i="27"/>
  <c r="D94" i="27"/>
  <c r="J11" i="27"/>
  <c r="J13" i="27"/>
  <c r="J15" i="27"/>
  <c r="D15" i="27"/>
  <c r="J20" i="27"/>
  <c r="I30" i="27"/>
  <c r="I35" i="27"/>
  <c r="F297" i="27"/>
  <c r="F402" i="27"/>
  <c r="F367" i="27"/>
  <c r="F332" i="27"/>
  <c r="F192" i="27"/>
  <c r="F262" i="27"/>
  <c r="F227" i="27"/>
  <c r="F157" i="27"/>
  <c r="F122" i="27"/>
  <c r="G44" i="27"/>
  <c r="F97" i="27"/>
  <c r="K44" i="27"/>
  <c r="F94" i="27"/>
  <c r="G46" i="27"/>
  <c r="F167" i="27"/>
  <c r="K46" i="27"/>
  <c r="F164" i="27"/>
  <c r="G48" i="27"/>
  <c r="F237" i="27"/>
  <c r="K48" i="27"/>
  <c r="F234" i="27"/>
  <c r="G50" i="27"/>
  <c r="F307" i="27"/>
  <c r="K50" i="27"/>
  <c r="F304" i="27"/>
  <c r="G52" i="27"/>
  <c r="F377" i="27"/>
  <c r="K52" i="27"/>
  <c r="F374" i="27"/>
  <c r="J75" i="27"/>
  <c r="F87" i="27"/>
  <c r="K109" i="27"/>
  <c r="F121" i="27"/>
  <c r="D278" i="27"/>
  <c r="F321" i="27"/>
  <c r="F286" i="27"/>
  <c r="F391" i="27"/>
  <c r="F216" i="27"/>
  <c r="F356" i="27"/>
  <c r="F181" i="27"/>
  <c r="I181" i="27"/>
  <c r="F146" i="27"/>
  <c r="F330" i="27"/>
  <c r="F295" i="27"/>
  <c r="F400" i="27"/>
  <c r="F225" i="27"/>
  <c r="F365" i="27"/>
  <c r="F85" i="27"/>
  <c r="F260" i="27"/>
  <c r="F190" i="27"/>
  <c r="F155" i="27"/>
  <c r="K390" i="27"/>
  <c r="K319" i="27"/>
  <c r="K355" i="27"/>
  <c r="K389" i="27"/>
  <c r="K320" i="27"/>
  <c r="K354" i="27"/>
  <c r="K285" i="27"/>
  <c r="K214" i="27"/>
  <c r="K284" i="27"/>
  <c r="K250" i="27"/>
  <c r="K215" i="27"/>
  <c r="K249" i="27"/>
  <c r="K180" i="27"/>
  <c r="K145" i="27"/>
  <c r="K74" i="27"/>
  <c r="K179" i="27"/>
  <c r="K110" i="27"/>
  <c r="K144" i="27"/>
  <c r="K75" i="27"/>
  <c r="F111" i="27"/>
  <c r="F117" i="27"/>
  <c r="J144" i="27"/>
  <c r="D164" i="27"/>
  <c r="E343" i="27"/>
  <c r="E308" i="27"/>
  <c r="E238" i="27"/>
  <c r="E378" i="27"/>
  <c r="E203" i="27"/>
  <c r="E273" i="27"/>
  <c r="E168" i="27"/>
  <c r="F361" i="27"/>
  <c r="F326" i="27"/>
  <c r="F291" i="27"/>
  <c r="F256" i="27"/>
  <c r="F221" i="27"/>
  <c r="F186" i="27"/>
  <c r="F396" i="27"/>
  <c r="F116" i="27"/>
  <c r="D36" i="27"/>
  <c r="I36" i="27"/>
  <c r="F81" i="27"/>
  <c r="F120" i="27"/>
  <c r="E133" i="27"/>
  <c r="I18" i="27"/>
  <c r="I19" i="27"/>
  <c r="I21" i="27"/>
  <c r="F327" i="27"/>
  <c r="F292" i="27"/>
  <c r="F397" i="27"/>
  <c r="F222" i="27"/>
  <c r="F82" i="27"/>
  <c r="F187" i="27"/>
  <c r="F152" i="27"/>
  <c r="J354" i="27"/>
  <c r="J285" i="27"/>
  <c r="J390" i="27"/>
  <c r="J319" i="27"/>
  <c r="J355" i="27"/>
  <c r="J284" i="27"/>
  <c r="J249" i="27"/>
  <c r="J180" i="27"/>
  <c r="J320" i="27"/>
  <c r="J214" i="27"/>
  <c r="J250" i="27"/>
  <c r="J109" i="27"/>
  <c r="J389" i="27"/>
  <c r="J215" i="27"/>
  <c r="J145" i="27"/>
  <c r="J179" i="27"/>
  <c r="J110" i="27"/>
  <c r="D313" i="27"/>
  <c r="D103" i="27"/>
  <c r="D383" i="27"/>
  <c r="D173" i="27"/>
  <c r="E272" i="27"/>
  <c r="E97" i="27"/>
  <c r="D21" i="27"/>
  <c r="D356" i="27"/>
  <c r="I356" i="27"/>
  <c r="D351" i="27"/>
  <c r="I351" i="27"/>
  <c r="D321" i="27"/>
  <c r="I321" i="27"/>
  <c r="D316" i="27"/>
  <c r="I316" i="27"/>
  <c r="D286" i="27"/>
  <c r="I286" i="27"/>
  <c r="D281" i="27"/>
  <c r="D251" i="27"/>
  <c r="D246" i="27"/>
  <c r="I246" i="27"/>
  <c r="D386" i="27"/>
  <c r="D216" i="27"/>
  <c r="I216" i="27"/>
  <c r="D211" i="27"/>
  <c r="I211" i="27"/>
  <c r="D391" i="27"/>
  <c r="I391" i="27"/>
  <c r="D111" i="27"/>
  <c r="I111" i="27"/>
  <c r="D106" i="27"/>
  <c r="I106" i="27"/>
  <c r="D176" i="27"/>
  <c r="I176" i="27"/>
  <c r="F364" i="27"/>
  <c r="F329" i="27"/>
  <c r="F294" i="27"/>
  <c r="F259" i="27"/>
  <c r="F399" i="27"/>
  <c r="F224" i="27"/>
  <c r="F189" i="27"/>
  <c r="F119" i="27"/>
  <c r="F84" i="27"/>
  <c r="E44" i="27"/>
  <c r="D101" i="27"/>
  <c r="G45" i="27"/>
  <c r="F132" i="27"/>
  <c r="E46" i="27"/>
  <c r="D171" i="27"/>
  <c r="G47" i="27"/>
  <c r="F202" i="27"/>
  <c r="E48" i="27"/>
  <c r="D241" i="27"/>
  <c r="G49" i="27"/>
  <c r="F272" i="27"/>
  <c r="E50" i="27"/>
  <c r="D311" i="27"/>
  <c r="G51" i="27"/>
  <c r="F342" i="27"/>
  <c r="E52" i="27"/>
  <c r="D381" i="27"/>
  <c r="D59" i="27"/>
  <c r="D146" i="27"/>
  <c r="I146" i="27"/>
  <c r="F251" i="27"/>
  <c r="D168" i="24"/>
  <c r="D167" i="24"/>
  <c r="D203" i="24"/>
  <c r="D202" i="24"/>
  <c r="D238" i="24"/>
  <c r="D237" i="24"/>
  <c r="D273" i="24"/>
  <c r="D272" i="24"/>
  <c r="D308" i="24"/>
  <c r="D307" i="24"/>
  <c r="D343" i="24"/>
  <c r="D342" i="24"/>
  <c r="D378" i="24"/>
  <c r="D377" i="24"/>
  <c r="E399" i="24"/>
  <c r="E364" i="24"/>
  <c r="E329" i="24"/>
  <c r="E294" i="24"/>
  <c r="E259" i="24"/>
  <c r="E224" i="24"/>
  <c r="E189" i="24"/>
  <c r="E154" i="24"/>
  <c r="E31" i="24"/>
  <c r="F107" i="19"/>
  <c r="G107" i="19"/>
  <c r="E107" i="19"/>
  <c r="E139" i="19"/>
  <c r="G89" i="19"/>
  <c r="I188" i="28"/>
  <c r="J188" i="28"/>
  <c r="G90" i="19"/>
  <c r="I223" i="28"/>
  <c r="J223" i="28"/>
  <c r="G91" i="19"/>
  <c r="I258" i="28"/>
  <c r="K258" i="28"/>
  <c r="G92" i="19"/>
  <c r="I293" i="28"/>
  <c r="J293" i="28"/>
  <c r="G93" i="19"/>
  <c r="I328" i="28"/>
  <c r="J328" i="28"/>
  <c r="G94" i="19"/>
  <c r="I363" i="28"/>
  <c r="J363" i="28"/>
  <c r="G95" i="19"/>
  <c r="I398" i="28"/>
  <c r="K398" i="28"/>
  <c r="F89" i="19"/>
  <c r="I188" i="27"/>
  <c r="K188" i="27"/>
  <c r="F90" i="19"/>
  <c r="I223" i="27"/>
  <c r="J223" i="27"/>
  <c r="F91" i="19"/>
  <c r="I258" i="27"/>
  <c r="K258" i="27"/>
  <c r="F92" i="19"/>
  <c r="I293" i="27"/>
  <c r="K293" i="27"/>
  <c r="F93" i="19"/>
  <c r="I328" i="27"/>
  <c r="J328" i="27"/>
  <c r="F94" i="19"/>
  <c r="I363" i="27"/>
  <c r="K363" i="27"/>
  <c r="F95" i="19"/>
  <c r="I398" i="27"/>
  <c r="K398" i="27"/>
  <c r="I52" i="19"/>
  <c r="I40" i="19"/>
  <c r="J40" i="19"/>
  <c r="I39" i="19"/>
  <c r="I41" i="19"/>
  <c r="H38" i="19"/>
  <c r="J38" i="19"/>
  <c r="H50" i="19"/>
  <c r="J50" i="19"/>
  <c r="H43" i="19"/>
  <c r="J43" i="19"/>
  <c r="F76" i="19"/>
  <c r="I35" i="19"/>
  <c r="J35" i="19"/>
  <c r="I34" i="19"/>
  <c r="J34" i="19"/>
  <c r="H33" i="19"/>
  <c r="J33" i="19"/>
  <c r="H31" i="19"/>
  <c r="J31" i="19"/>
  <c r="F73" i="19"/>
  <c r="H29" i="19"/>
  <c r="J29" i="19"/>
  <c r="F72" i="19"/>
  <c r="I281" i="27"/>
  <c r="K141" i="27"/>
  <c r="K223" i="28"/>
  <c r="K188" i="28"/>
  <c r="I386" i="27"/>
  <c r="G139" i="19"/>
  <c r="C43" i="28"/>
  <c r="J398" i="27"/>
  <c r="J258" i="28"/>
  <c r="J398" i="28"/>
  <c r="K293" i="28"/>
  <c r="F139" i="19"/>
  <c r="C43" i="27"/>
  <c r="K363" i="28"/>
  <c r="K328" i="28"/>
  <c r="I316" i="28"/>
  <c r="J316" i="28"/>
  <c r="C85" i="22"/>
  <c r="C67" i="22"/>
  <c r="J188" i="27"/>
  <c r="J258" i="27"/>
  <c r="J363" i="27"/>
  <c r="K328" i="27"/>
  <c r="K223" i="27"/>
  <c r="J293" i="27"/>
  <c r="I176" i="28"/>
  <c r="J176" i="28"/>
  <c r="I77" i="28"/>
  <c r="J76" i="28"/>
  <c r="K76" i="28"/>
  <c r="D257" i="28"/>
  <c r="I257" i="28"/>
  <c r="I182" i="28"/>
  <c r="K181" i="28"/>
  <c r="J181" i="28"/>
  <c r="K251" i="28"/>
  <c r="J251" i="28"/>
  <c r="I252" i="28"/>
  <c r="K11" i="28"/>
  <c r="J11" i="28"/>
  <c r="I15" i="28"/>
  <c r="I307" i="28"/>
  <c r="D312" i="28"/>
  <c r="I237" i="28"/>
  <c r="D242" i="28"/>
  <c r="J141" i="28"/>
  <c r="K141" i="28"/>
  <c r="I32" i="28"/>
  <c r="I37" i="28"/>
  <c r="J30" i="28"/>
  <c r="J32" i="28"/>
  <c r="K30" i="28"/>
  <c r="K32" i="28"/>
  <c r="D102" i="28"/>
  <c r="I97" i="28"/>
  <c r="D292" i="28"/>
  <c r="I292" i="28"/>
  <c r="D397" i="28"/>
  <c r="I397" i="28"/>
  <c r="I111" i="28"/>
  <c r="I216" i="28"/>
  <c r="I386" i="28"/>
  <c r="K321" i="28"/>
  <c r="J321" i="28"/>
  <c r="I322" i="28"/>
  <c r="J36" i="28"/>
  <c r="K36" i="28"/>
  <c r="D209" i="28"/>
  <c r="I203" i="28"/>
  <c r="I308" i="28"/>
  <c r="D314" i="28"/>
  <c r="I168" i="28"/>
  <c r="D174" i="28"/>
  <c r="I167" i="28"/>
  <c r="D172" i="28"/>
  <c r="D277" i="28"/>
  <c r="I272" i="28"/>
  <c r="E307" i="28"/>
  <c r="J34" i="28"/>
  <c r="K34" i="28"/>
  <c r="D225" i="28"/>
  <c r="I199" i="28"/>
  <c r="I339" i="28"/>
  <c r="D365" i="28"/>
  <c r="K211" i="28"/>
  <c r="J211" i="28"/>
  <c r="I106" i="28"/>
  <c r="J12" i="28"/>
  <c r="K12" i="28"/>
  <c r="J146" i="28"/>
  <c r="I147" i="28"/>
  <c r="K146" i="28"/>
  <c r="J25" i="28"/>
  <c r="K25" i="28"/>
  <c r="I26" i="28"/>
  <c r="I374" i="28"/>
  <c r="D400" i="28"/>
  <c r="I129" i="28"/>
  <c r="D155" i="28"/>
  <c r="D260" i="28"/>
  <c r="I234" i="28"/>
  <c r="D330" i="28"/>
  <c r="I304" i="28"/>
  <c r="D152" i="28"/>
  <c r="I152" i="28"/>
  <c r="D327" i="28"/>
  <c r="I327" i="28"/>
  <c r="J281" i="28"/>
  <c r="K281" i="28"/>
  <c r="J351" i="28"/>
  <c r="K351" i="28"/>
  <c r="I392" i="28"/>
  <c r="K391" i="28"/>
  <c r="J391" i="28"/>
  <c r="I98" i="28"/>
  <c r="D104" i="28"/>
  <c r="I273" i="28"/>
  <c r="D279" i="28"/>
  <c r="E97" i="28"/>
  <c r="D347" i="28"/>
  <c r="I342" i="28"/>
  <c r="K164" i="28"/>
  <c r="J164" i="28"/>
  <c r="D361" i="28"/>
  <c r="D326" i="28"/>
  <c r="D291" i="28"/>
  <c r="D256" i="28"/>
  <c r="D396" i="28"/>
  <c r="D221" i="28"/>
  <c r="D151" i="28"/>
  <c r="D116" i="28"/>
  <c r="D186" i="28"/>
  <c r="D81" i="28"/>
  <c r="D295" i="28"/>
  <c r="I269" i="28"/>
  <c r="D362" i="28"/>
  <c r="I362" i="28"/>
  <c r="I377" i="28"/>
  <c r="D382" i="28"/>
  <c r="D117" i="28"/>
  <c r="I117" i="28"/>
  <c r="J17" i="28"/>
  <c r="K17" i="28"/>
  <c r="I21" i="28"/>
  <c r="D120" i="28"/>
  <c r="I94" i="28"/>
  <c r="D187" i="28"/>
  <c r="I187" i="28"/>
  <c r="D222" i="28"/>
  <c r="I222" i="28"/>
  <c r="K176" i="28"/>
  <c r="J356" i="28"/>
  <c r="I357" i="28"/>
  <c r="K356" i="28"/>
  <c r="K246" i="28"/>
  <c r="J246" i="28"/>
  <c r="I287" i="28"/>
  <c r="K286" i="28"/>
  <c r="J286" i="28"/>
  <c r="I133" i="28"/>
  <c r="D139" i="28"/>
  <c r="I238" i="28"/>
  <c r="D244" i="28"/>
  <c r="I378" i="28"/>
  <c r="D384" i="28"/>
  <c r="I343" i="28"/>
  <c r="D349" i="28"/>
  <c r="D137" i="28"/>
  <c r="I132" i="28"/>
  <c r="I202" i="28"/>
  <c r="D207" i="28"/>
  <c r="E342" i="28"/>
  <c r="I191" i="28"/>
  <c r="I190" i="28"/>
  <c r="K21" i="27"/>
  <c r="K26" i="27"/>
  <c r="K27" i="27"/>
  <c r="J21" i="27"/>
  <c r="K181" i="27"/>
  <c r="I182" i="27"/>
  <c r="J181" i="27"/>
  <c r="J146" i="27"/>
  <c r="I147" i="27"/>
  <c r="K146" i="27"/>
  <c r="I217" i="27"/>
  <c r="K216" i="27"/>
  <c r="J216" i="27"/>
  <c r="I342" i="27"/>
  <c r="D347" i="27"/>
  <c r="D396" i="27"/>
  <c r="D361" i="27"/>
  <c r="D326" i="27"/>
  <c r="D291" i="27"/>
  <c r="D256" i="27"/>
  <c r="D221" i="27"/>
  <c r="D151" i="27"/>
  <c r="D186" i="27"/>
  <c r="D116" i="27"/>
  <c r="D81" i="27"/>
  <c r="I27" i="27"/>
  <c r="I77" i="27"/>
  <c r="J76" i="27"/>
  <c r="K76" i="27"/>
  <c r="J26" i="27"/>
  <c r="K168" i="27"/>
  <c r="J168" i="27"/>
  <c r="K111" i="27"/>
  <c r="J111" i="27"/>
  <c r="I112" i="27"/>
  <c r="J386" i="27"/>
  <c r="K386" i="27"/>
  <c r="I287" i="27"/>
  <c r="K286" i="27"/>
  <c r="J286" i="27"/>
  <c r="K356" i="27"/>
  <c r="J356" i="27"/>
  <c r="I357" i="27"/>
  <c r="D137" i="27"/>
  <c r="I132" i="27"/>
  <c r="E342" i="27"/>
  <c r="I98" i="27"/>
  <c r="D104" i="27"/>
  <c r="D209" i="27"/>
  <c r="I203" i="27"/>
  <c r="I343" i="27"/>
  <c r="D349" i="27"/>
  <c r="I97" i="27"/>
  <c r="D102" i="27"/>
  <c r="K30" i="27"/>
  <c r="K32" i="27"/>
  <c r="I32" i="27"/>
  <c r="I37" i="27"/>
  <c r="J30" i="27"/>
  <c r="J32" i="27"/>
  <c r="J35" i="27"/>
  <c r="J36" i="27"/>
  <c r="J37" i="27"/>
  <c r="D120" i="27"/>
  <c r="I94" i="27"/>
  <c r="D225" i="27"/>
  <c r="I199" i="27"/>
  <c r="D365" i="27"/>
  <c r="I339" i="27"/>
  <c r="K351" i="27"/>
  <c r="J351" i="27"/>
  <c r="D277" i="27"/>
  <c r="I272" i="27"/>
  <c r="I133" i="27"/>
  <c r="D139" i="27"/>
  <c r="D190" i="27"/>
  <c r="I164" i="27"/>
  <c r="J391" i="27"/>
  <c r="I392" i="27"/>
  <c r="K391" i="27"/>
  <c r="K316" i="27"/>
  <c r="J316" i="27"/>
  <c r="I237" i="27"/>
  <c r="D242" i="27"/>
  <c r="D382" i="27"/>
  <c r="I377" i="27"/>
  <c r="I273" i="27"/>
  <c r="D279" i="27"/>
  <c r="J27" i="27"/>
  <c r="D295" i="27"/>
  <c r="I269" i="27"/>
  <c r="K106" i="27"/>
  <c r="J106" i="27"/>
  <c r="K281" i="27"/>
  <c r="J281" i="27"/>
  <c r="I307" i="27"/>
  <c r="D312" i="27"/>
  <c r="K35" i="27"/>
  <c r="D260" i="27"/>
  <c r="I234" i="27"/>
  <c r="K246" i="27"/>
  <c r="J246" i="27"/>
  <c r="D310" i="27"/>
  <c r="D380" i="27"/>
  <c r="D205" i="27"/>
  <c r="D345" i="27"/>
  <c r="D275" i="27"/>
  <c r="D240" i="27"/>
  <c r="D170" i="27"/>
  <c r="D135" i="27"/>
  <c r="D100" i="27"/>
  <c r="K176" i="27"/>
  <c r="J176" i="27"/>
  <c r="K211" i="27"/>
  <c r="J211" i="27"/>
  <c r="I251" i="27"/>
  <c r="I322" i="27"/>
  <c r="K321" i="27"/>
  <c r="J321" i="27"/>
  <c r="J19" i="27"/>
  <c r="K19" i="27"/>
  <c r="I167" i="27"/>
  <c r="D172" i="27"/>
  <c r="E237" i="27"/>
  <c r="I202" i="27"/>
  <c r="D207" i="27"/>
  <c r="E377" i="27"/>
  <c r="J18" i="27"/>
  <c r="K18" i="27"/>
  <c r="K36" i="27"/>
  <c r="E98" i="27"/>
  <c r="I238" i="27"/>
  <c r="D244" i="27"/>
  <c r="D314" i="27"/>
  <c r="I308" i="27"/>
  <c r="I378" i="27"/>
  <c r="D384" i="27"/>
  <c r="I129" i="27"/>
  <c r="D155" i="27"/>
  <c r="D330" i="27"/>
  <c r="I304" i="27"/>
  <c r="I374" i="27"/>
  <c r="D400" i="27"/>
  <c r="F82" i="24"/>
  <c r="F222" i="24"/>
  <c r="F327" i="24"/>
  <c r="F187" i="24"/>
  <c r="F362" i="24"/>
  <c r="F397" i="24"/>
  <c r="F292" i="24"/>
  <c r="F257" i="24"/>
  <c r="F152" i="24"/>
  <c r="F117" i="24"/>
  <c r="H73" i="19"/>
  <c r="H76" i="19"/>
  <c r="I73" i="19"/>
  <c r="I72" i="19"/>
  <c r="H72" i="19"/>
  <c r="I76" i="19"/>
  <c r="E72" i="19"/>
  <c r="G73" i="19"/>
  <c r="E76" i="19"/>
  <c r="E73" i="19"/>
  <c r="G76" i="19"/>
  <c r="H52" i="19"/>
  <c r="G72" i="19"/>
  <c r="H41" i="19"/>
  <c r="J39" i="19"/>
  <c r="J41" i="19"/>
  <c r="H36" i="19"/>
  <c r="I36" i="19"/>
  <c r="J36" i="19"/>
  <c r="E33" i="20"/>
  <c r="D315" i="28"/>
  <c r="D332" i="28"/>
  <c r="I332" i="28"/>
  <c r="D210" i="28"/>
  <c r="D105" i="28"/>
  <c r="D122" i="28"/>
  <c r="I122" i="28"/>
  <c r="J122" i="28"/>
  <c r="K316" i="28"/>
  <c r="D175" i="28"/>
  <c r="D192" i="28"/>
  <c r="I192" i="28"/>
  <c r="D245" i="28"/>
  <c r="D63" i="27"/>
  <c r="D62" i="27"/>
  <c r="J43" i="28"/>
  <c r="F71" i="28"/>
  <c r="I71" i="28"/>
  <c r="D43" i="28"/>
  <c r="D65" i="28"/>
  <c r="D82" i="28"/>
  <c r="I82" i="28"/>
  <c r="J82" i="28"/>
  <c r="K43" i="28"/>
  <c r="F59" i="28"/>
  <c r="H43" i="28"/>
  <c r="F63" i="28"/>
  <c r="E43" i="28"/>
  <c r="D66" i="28"/>
  <c r="F43" i="28"/>
  <c r="D68" i="28"/>
  <c r="G43" i="28"/>
  <c r="F62" i="28"/>
  <c r="L43" i="28"/>
  <c r="G59" i="28"/>
  <c r="I43" i="28"/>
  <c r="F70" i="28"/>
  <c r="I43" i="27"/>
  <c r="F70" i="27"/>
  <c r="E43" i="27"/>
  <c r="D66" i="27"/>
  <c r="G43" i="27"/>
  <c r="F62" i="27"/>
  <c r="J43" i="27"/>
  <c r="F71" i="27"/>
  <c r="I71" i="27"/>
  <c r="K43" i="27"/>
  <c r="F59" i="27"/>
  <c r="L43" i="27"/>
  <c r="G59" i="27"/>
  <c r="F43" i="27"/>
  <c r="D68" i="27"/>
  <c r="H43" i="27"/>
  <c r="F63" i="27"/>
  <c r="D43" i="27"/>
  <c r="D65" i="27"/>
  <c r="D82" i="27"/>
  <c r="I82" i="27"/>
  <c r="D63" i="28"/>
  <c r="D62" i="28"/>
  <c r="D385" i="28"/>
  <c r="D402" i="28"/>
  <c r="I402" i="28"/>
  <c r="D350" i="28"/>
  <c r="D367" i="28"/>
  <c r="I367" i="28"/>
  <c r="D280" i="28"/>
  <c r="I280" i="28"/>
  <c r="I282" i="28"/>
  <c r="D140" i="28"/>
  <c r="E140" i="28"/>
  <c r="I385" i="28"/>
  <c r="I387" i="28"/>
  <c r="I393" i="28"/>
  <c r="E350" i="28"/>
  <c r="I210" i="28"/>
  <c r="E210" i="28"/>
  <c r="D227" i="28"/>
  <c r="I227" i="28"/>
  <c r="D297" i="28"/>
  <c r="I297" i="28"/>
  <c r="J202" i="28"/>
  <c r="K202" i="28"/>
  <c r="K222" i="28"/>
  <c r="J222" i="28"/>
  <c r="K377" i="28"/>
  <c r="J377" i="28"/>
  <c r="D84" i="28"/>
  <c r="I84" i="28"/>
  <c r="D83" i="28"/>
  <c r="I81" i="28"/>
  <c r="D329" i="28"/>
  <c r="I329" i="28"/>
  <c r="I326" i="28"/>
  <c r="D328" i="28"/>
  <c r="F328" i="28"/>
  <c r="K374" i="28"/>
  <c r="J374" i="28"/>
  <c r="K192" i="28"/>
  <c r="J192" i="28"/>
  <c r="K292" i="28"/>
  <c r="J292" i="28"/>
  <c r="J332" i="28"/>
  <c r="K332" i="28"/>
  <c r="J15" i="28"/>
  <c r="J21" i="28"/>
  <c r="J26" i="28"/>
  <c r="J27" i="28"/>
  <c r="J37" i="28"/>
  <c r="J38" i="28"/>
  <c r="I245" i="28"/>
  <c r="I247" i="28"/>
  <c r="I253" i="28"/>
  <c r="E245" i="28"/>
  <c r="K191" i="28"/>
  <c r="J191" i="28"/>
  <c r="I175" i="28"/>
  <c r="E175" i="28"/>
  <c r="K21" i="28"/>
  <c r="K117" i="28"/>
  <c r="J117" i="28"/>
  <c r="D189" i="28"/>
  <c r="I189" i="28"/>
  <c r="D188" i="28"/>
  <c r="F188" i="28"/>
  <c r="I186" i="28"/>
  <c r="D399" i="28"/>
  <c r="I399" i="28"/>
  <c r="D398" i="28"/>
  <c r="F398" i="28"/>
  <c r="I396" i="28"/>
  <c r="D364" i="28"/>
  <c r="I364" i="28"/>
  <c r="D363" i="28"/>
  <c r="F363" i="28"/>
  <c r="I361" i="28"/>
  <c r="J98" i="28"/>
  <c r="K98" i="28"/>
  <c r="I315" i="28"/>
  <c r="I317" i="28"/>
  <c r="E315" i="28"/>
  <c r="K304" i="28"/>
  <c r="J304" i="28"/>
  <c r="I156" i="28"/>
  <c r="I155" i="28"/>
  <c r="K26" i="28"/>
  <c r="K147" i="28"/>
  <c r="J147" i="28"/>
  <c r="J106" i="28"/>
  <c r="K106" i="28"/>
  <c r="J339" i="28"/>
  <c r="K339" i="28"/>
  <c r="K203" i="28"/>
  <c r="J203" i="28"/>
  <c r="K397" i="28"/>
  <c r="J397" i="28"/>
  <c r="K97" i="28"/>
  <c r="J97" i="28"/>
  <c r="D262" i="28"/>
  <c r="I262" i="28"/>
  <c r="K15" i="28"/>
  <c r="K27" i="28"/>
  <c r="K37" i="28"/>
  <c r="K38" i="28"/>
  <c r="K257" i="28"/>
  <c r="J257" i="28"/>
  <c r="K378" i="28"/>
  <c r="J378" i="28"/>
  <c r="J362" i="28"/>
  <c r="K362" i="28"/>
  <c r="K342" i="28"/>
  <c r="J342" i="28"/>
  <c r="I261" i="28"/>
  <c r="I260" i="28"/>
  <c r="K308" i="28"/>
  <c r="J308" i="28"/>
  <c r="K132" i="28"/>
  <c r="J132" i="28"/>
  <c r="K238" i="28"/>
  <c r="J238" i="28"/>
  <c r="K187" i="28"/>
  <c r="J187" i="28"/>
  <c r="J269" i="28"/>
  <c r="K269" i="28"/>
  <c r="D119" i="28"/>
  <c r="I119" i="28"/>
  <c r="D118" i="28"/>
  <c r="I116" i="28"/>
  <c r="D259" i="28"/>
  <c r="I259" i="28"/>
  <c r="D258" i="28"/>
  <c r="F258" i="28"/>
  <c r="I256" i="28"/>
  <c r="K327" i="28"/>
  <c r="J327" i="28"/>
  <c r="I331" i="28"/>
  <c r="I330" i="28"/>
  <c r="J129" i="28"/>
  <c r="K129" i="28"/>
  <c r="K199" i="28"/>
  <c r="J199" i="28"/>
  <c r="K168" i="28"/>
  <c r="J168" i="28"/>
  <c r="K386" i="28"/>
  <c r="J386" i="28"/>
  <c r="K307" i="28"/>
  <c r="J307" i="28"/>
  <c r="K252" i="28"/>
  <c r="J252" i="28"/>
  <c r="K190" i="28"/>
  <c r="J190" i="28"/>
  <c r="J133" i="28"/>
  <c r="K133" i="28"/>
  <c r="I121" i="28"/>
  <c r="I120" i="28"/>
  <c r="D223" i="28"/>
  <c r="F223" i="28"/>
  <c r="I221" i="28"/>
  <c r="D224" i="28"/>
  <c r="I224" i="28"/>
  <c r="J392" i="28"/>
  <c r="K392" i="28"/>
  <c r="I366" i="28"/>
  <c r="I365" i="28"/>
  <c r="K111" i="28"/>
  <c r="J111" i="28"/>
  <c r="I112" i="28"/>
  <c r="J343" i="28"/>
  <c r="K343" i="28"/>
  <c r="K287" i="28"/>
  <c r="J287" i="28"/>
  <c r="K357" i="28"/>
  <c r="J357" i="28"/>
  <c r="J94" i="28"/>
  <c r="K94" i="28"/>
  <c r="I296" i="28"/>
  <c r="I295" i="28"/>
  <c r="D154" i="28"/>
  <c r="I154" i="28"/>
  <c r="D153" i="28"/>
  <c r="I151" i="28"/>
  <c r="D293" i="28"/>
  <c r="F293" i="28"/>
  <c r="I291" i="28"/>
  <c r="D294" i="28"/>
  <c r="I294" i="28"/>
  <c r="J273" i="28"/>
  <c r="K273" i="28"/>
  <c r="J152" i="28"/>
  <c r="K152" i="28"/>
  <c r="K234" i="28"/>
  <c r="J234" i="28"/>
  <c r="I401" i="28"/>
  <c r="I400" i="28"/>
  <c r="I226" i="28"/>
  <c r="I225" i="28"/>
  <c r="K272" i="28"/>
  <c r="J272" i="28"/>
  <c r="K167" i="28"/>
  <c r="I177" i="28"/>
  <c r="J167" i="28"/>
  <c r="K322" i="28"/>
  <c r="J322" i="28"/>
  <c r="I217" i="28"/>
  <c r="K216" i="28"/>
  <c r="J216" i="28"/>
  <c r="K237" i="28"/>
  <c r="J237" i="28"/>
  <c r="I27" i="28"/>
  <c r="I38" i="28"/>
  <c r="J182" i="28"/>
  <c r="K182" i="28"/>
  <c r="J77" i="28"/>
  <c r="K77" i="28"/>
  <c r="K308" i="27"/>
  <c r="J308" i="27"/>
  <c r="D187" i="27"/>
  <c r="I187" i="27"/>
  <c r="D175" i="27"/>
  <c r="J199" i="27"/>
  <c r="K199" i="27"/>
  <c r="K203" i="27"/>
  <c r="J203" i="27"/>
  <c r="D399" i="27"/>
  <c r="I399" i="27"/>
  <c r="D398" i="27"/>
  <c r="F398" i="27"/>
  <c r="I396" i="27"/>
  <c r="K147" i="27"/>
  <c r="J147" i="27"/>
  <c r="J374" i="27"/>
  <c r="K374" i="27"/>
  <c r="J129" i="27"/>
  <c r="K129" i="27"/>
  <c r="K322" i="27"/>
  <c r="J322" i="27"/>
  <c r="D117" i="27"/>
  <c r="I117" i="27"/>
  <c r="D105" i="27"/>
  <c r="D257" i="27"/>
  <c r="I257" i="27"/>
  <c r="D245" i="27"/>
  <c r="D385" i="27"/>
  <c r="D397" i="27"/>
  <c r="I397" i="27"/>
  <c r="J269" i="27"/>
  <c r="K269" i="27"/>
  <c r="J273" i="27"/>
  <c r="K273" i="27"/>
  <c r="K164" i="27"/>
  <c r="J164" i="27"/>
  <c r="K272" i="27"/>
  <c r="J272" i="27"/>
  <c r="I226" i="27"/>
  <c r="I225" i="27"/>
  <c r="K97" i="27"/>
  <c r="J97" i="27"/>
  <c r="K132" i="27"/>
  <c r="J132" i="27"/>
  <c r="J287" i="27"/>
  <c r="K287" i="27"/>
  <c r="K77" i="27"/>
  <c r="J77" i="27"/>
  <c r="D189" i="27"/>
  <c r="I189" i="27"/>
  <c r="D188" i="27"/>
  <c r="F188" i="27"/>
  <c r="I186" i="27"/>
  <c r="D294" i="27"/>
  <c r="I294" i="27"/>
  <c r="D293" i="27"/>
  <c r="F293" i="27"/>
  <c r="I291" i="27"/>
  <c r="I156" i="27"/>
  <c r="I155" i="27"/>
  <c r="I261" i="27"/>
  <c r="I260" i="27"/>
  <c r="J133" i="27"/>
  <c r="K133" i="27"/>
  <c r="K357" i="27"/>
  <c r="J357" i="27"/>
  <c r="D119" i="27"/>
  <c r="I119" i="27"/>
  <c r="D118" i="27"/>
  <c r="I116" i="27"/>
  <c r="K251" i="27"/>
  <c r="J251" i="27"/>
  <c r="I252" i="27"/>
  <c r="D140" i="27"/>
  <c r="D152" i="27"/>
  <c r="I152" i="27"/>
  <c r="D292" i="27"/>
  <c r="I292" i="27"/>
  <c r="D280" i="27"/>
  <c r="D327" i="27"/>
  <c r="I327" i="27"/>
  <c r="D315" i="27"/>
  <c r="I296" i="27"/>
  <c r="I295" i="27"/>
  <c r="K377" i="27"/>
  <c r="J377" i="27"/>
  <c r="I191" i="27"/>
  <c r="I190" i="27"/>
  <c r="K339" i="27"/>
  <c r="J339" i="27"/>
  <c r="K94" i="27"/>
  <c r="J94" i="27"/>
  <c r="K37" i="27"/>
  <c r="K38" i="27"/>
  <c r="I38" i="27"/>
  <c r="D154" i="27"/>
  <c r="I154" i="27"/>
  <c r="D153" i="27"/>
  <c r="I151" i="27"/>
  <c r="D328" i="27"/>
  <c r="F328" i="27"/>
  <c r="I326" i="27"/>
  <c r="D329" i="27"/>
  <c r="I329" i="27"/>
  <c r="K217" i="27"/>
  <c r="J217" i="27"/>
  <c r="I401" i="27"/>
  <c r="I400" i="27"/>
  <c r="D222" i="27"/>
  <c r="I222" i="27"/>
  <c r="D210" i="27"/>
  <c r="K112" i="27"/>
  <c r="J112" i="27"/>
  <c r="D259" i="27"/>
  <c r="I259" i="27"/>
  <c r="I256" i="27"/>
  <c r="D258" i="27"/>
  <c r="F258" i="27"/>
  <c r="K304" i="27"/>
  <c r="J304" i="27"/>
  <c r="I331" i="27"/>
  <c r="I330" i="27"/>
  <c r="J378" i="27"/>
  <c r="K378" i="27"/>
  <c r="K238" i="27"/>
  <c r="J238" i="27"/>
  <c r="J202" i="27"/>
  <c r="K202" i="27"/>
  <c r="K167" i="27"/>
  <c r="J167" i="27"/>
  <c r="D362" i="27"/>
  <c r="I362" i="27"/>
  <c r="D350" i="27"/>
  <c r="K234" i="27"/>
  <c r="J234" i="27"/>
  <c r="J307" i="27"/>
  <c r="K307" i="27"/>
  <c r="J38" i="27"/>
  <c r="K237" i="27"/>
  <c r="J237" i="27"/>
  <c r="K392" i="27"/>
  <c r="J392" i="27"/>
  <c r="I366" i="27"/>
  <c r="I365" i="27"/>
  <c r="I121" i="27"/>
  <c r="I120" i="27"/>
  <c r="K343" i="27"/>
  <c r="J343" i="27"/>
  <c r="K98" i="27"/>
  <c r="J98" i="27"/>
  <c r="D83" i="27"/>
  <c r="I81" i="27"/>
  <c r="D84" i="27"/>
  <c r="I84" i="27"/>
  <c r="D223" i="27"/>
  <c r="F223" i="27"/>
  <c r="I221" i="27"/>
  <c r="D224" i="27"/>
  <c r="I224" i="27"/>
  <c r="D364" i="27"/>
  <c r="I364" i="27"/>
  <c r="I361" i="27"/>
  <c r="D363" i="27"/>
  <c r="F363" i="27"/>
  <c r="K342" i="27"/>
  <c r="J342" i="27"/>
  <c r="J182" i="27"/>
  <c r="K182" i="27"/>
  <c r="H74" i="19"/>
  <c r="I74" i="19"/>
  <c r="H75" i="19"/>
  <c r="I75" i="19"/>
  <c r="G75" i="19"/>
  <c r="E75" i="19"/>
  <c r="F75" i="19"/>
  <c r="F74" i="19"/>
  <c r="G74" i="19"/>
  <c r="E74" i="19"/>
  <c r="F39" i="20"/>
  <c r="F40" i="20"/>
  <c r="F42" i="20"/>
  <c r="F38" i="20"/>
  <c r="K122" i="28"/>
  <c r="E105" i="28"/>
  <c r="I105" i="28"/>
  <c r="I107" i="28"/>
  <c r="I140" i="28"/>
  <c r="J140" i="28"/>
  <c r="E385" i="28"/>
  <c r="K82" i="28"/>
  <c r="I350" i="28"/>
  <c r="I352" i="28"/>
  <c r="J352" i="28"/>
  <c r="J358" i="28"/>
  <c r="J71" i="28"/>
  <c r="K71" i="28"/>
  <c r="I62" i="28"/>
  <c r="D67" i="28"/>
  <c r="E62" i="28"/>
  <c r="E63" i="28"/>
  <c r="I63" i="28"/>
  <c r="D69" i="28"/>
  <c r="D85" i="28"/>
  <c r="I59" i="28"/>
  <c r="I62" i="27"/>
  <c r="D67" i="27"/>
  <c r="E62" i="27"/>
  <c r="J71" i="27"/>
  <c r="K71" i="27"/>
  <c r="D85" i="27"/>
  <c r="I59" i="27"/>
  <c r="E63" i="27"/>
  <c r="D69" i="27"/>
  <c r="I63" i="27"/>
  <c r="E280" i="28"/>
  <c r="D157" i="28"/>
  <c r="I157" i="28"/>
  <c r="K157" i="28"/>
  <c r="K225" i="28"/>
  <c r="J225" i="28"/>
  <c r="K294" i="28"/>
  <c r="J294" i="28"/>
  <c r="J399" i="28"/>
  <c r="K399" i="28"/>
  <c r="K329" i="28"/>
  <c r="J329" i="28"/>
  <c r="K297" i="28"/>
  <c r="J297" i="28"/>
  <c r="K140" i="28"/>
  <c r="K226" i="28"/>
  <c r="J226" i="28"/>
  <c r="K291" i="28"/>
  <c r="J291" i="28"/>
  <c r="I298" i="28"/>
  <c r="K154" i="28"/>
  <c r="J154" i="28"/>
  <c r="J365" i="28"/>
  <c r="K365" i="28"/>
  <c r="K224" i="28"/>
  <c r="J224" i="28"/>
  <c r="K105" i="28"/>
  <c r="J105" i="28"/>
  <c r="K317" i="28"/>
  <c r="K323" i="28"/>
  <c r="J317" i="28"/>
  <c r="J323" i="28"/>
  <c r="K330" i="28"/>
  <c r="J330" i="28"/>
  <c r="K259" i="28"/>
  <c r="J259" i="28"/>
  <c r="K260" i="28"/>
  <c r="J260" i="28"/>
  <c r="J262" i="28"/>
  <c r="K262" i="28"/>
  <c r="K315" i="28"/>
  <c r="J315" i="28"/>
  <c r="K364" i="28"/>
  <c r="J364" i="28"/>
  <c r="I193" i="28"/>
  <c r="K186" i="28"/>
  <c r="J186" i="28"/>
  <c r="J175" i="28"/>
  <c r="K175" i="28"/>
  <c r="J81" i="28"/>
  <c r="K81" i="28"/>
  <c r="J387" i="28"/>
  <c r="J393" i="28"/>
  <c r="K387" i="28"/>
  <c r="K393" i="28"/>
  <c r="K210" i="28"/>
  <c r="J210" i="28"/>
  <c r="K367" i="28"/>
  <c r="J367" i="28"/>
  <c r="K402" i="28"/>
  <c r="J402" i="28"/>
  <c r="K119" i="28"/>
  <c r="J119" i="28"/>
  <c r="K352" i="28"/>
  <c r="K358" i="28"/>
  <c r="K107" i="28"/>
  <c r="K112" i="28"/>
  <c r="K113" i="28"/>
  <c r="J107" i="28"/>
  <c r="J112" i="28"/>
  <c r="J113" i="28"/>
  <c r="J156" i="28"/>
  <c r="K156" i="28"/>
  <c r="K295" i="28"/>
  <c r="J295" i="28"/>
  <c r="I113" i="28"/>
  <c r="J366" i="28"/>
  <c r="K366" i="28"/>
  <c r="K221" i="28"/>
  <c r="J221" i="28"/>
  <c r="I228" i="28"/>
  <c r="K120" i="28"/>
  <c r="J120" i="28"/>
  <c r="K331" i="28"/>
  <c r="J331" i="28"/>
  <c r="K116" i="28"/>
  <c r="J116" i="28"/>
  <c r="K261" i="28"/>
  <c r="J261" i="28"/>
  <c r="I403" i="28"/>
  <c r="I404" i="28"/>
  <c r="F29" i="22"/>
  <c r="J396" i="28"/>
  <c r="K396" i="28"/>
  <c r="K280" i="28"/>
  <c r="J280" i="28"/>
  <c r="K400" i="28"/>
  <c r="J400" i="28"/>
  <c r="K247" i="28"/>
  <c r="K253" i="28"/>
  <c r="J247" i="28"/>
  <c r="J253" i="28"/>
  <c r="K217" i="28"/>
  <c r="J217" i="28"/>
  <c r="J177" i="28"/>
  <c r="J183" i="28"/>
  <c r="K177" i="28"/>
  <c r="K183" i="28"/>
  <c r="I183" i="28"/>
  <c r="K282" i="28"/>
  <c r="K288" i="28"/>
  <c r="J282" i="28"/>
  <c r="J288" i="28"/>
  <c r="K401" i="28"/>
  <c r="J401" i="28"/>
  <c r="K151" i="28"/>
  <c r="J151" i="28"/>
  <c r="K296" i="28"/>
  <c r="J296" i="28"/>
  <c r="K121" i="28"/>
  <c r="J121" i="28"/>
  <c r="K256" i="28"/>
  <c r="I263" i="28"/>
  <c r="I264" i="28"/>
  <c r="F25" i="22"/>
  <c r="J256" i="28"/>
  <c r="I288" i="28"/>
  <c r="J155" i="28"/>
  <c r="K155" i="28"/>
  <c r="I323" i="28"/>
  <c r="K361" i="28"/>
  <c r="I368" i="28"/>
  <c r="J361" i="28"/>
  <c r="J189" i="28"/>
  <c r="K189" i="28"/>
  <c r="K245" i="28"/>
  <c r="J245" i="28"/>
  <c r="K326" i="28"/>
  <c r="I333" i="28"/>
  <c r="J326" i="28"/>
  <c r="J84" i="28"/>
  <c r="K84" i="28"/>
  <c r="I212" i="28"/>
  <c r="K227" i="28"/>
  <c r="J227" i="28"/>
  <c r="K350" i="28"/>
  <c r="J385" i="28"/>
  <c r="K385" i="28"/>
  <c r="K221" i="27"/>
  <c r="J221" i="27"/>
  <c r="J401" i="27"/>
  <c r="K401" i="27"/>
  <c r="J291" i="27"/>
  <c r="K291" i="27"/>
  <c r="K225" i="27"/>
  <c r="J225" i="27"/>
  <c r="I385" i="27"/>
  <c r="E385" i="27"/>
  <c r="D402" i="27"/>
  <c r="I402" i="27"/>
  <c r="I403" i="27"/>
  <c r="K187" i="27"/>
  <c r="J187" i="27"/>
  <c r="K361" i="27"/>
  <c r="J361" i="27"/>
  <c r="K120" i="27"/>
  <c r="J120" i="27"/>
  <c r="K362" i="27"/>
  <c r="J362" i="27"/>
  <c r="J82" i="27"/>
  <c r="K82" i="27"/>
  <c r="K331" i="27"/>
  <c r="J331" i="27"/>
  <c r="K190" i="27"/>
  <c r="J190" i="27"/>
  <c r="K327" i="27"/>
  <c r="J327" i="27"/>
  <c r="I140" i="27"/>
  <c r="E140" i="27"/>
  <c r="D157" i="27"/>
  <c r="I157" i="27"/>
  <c r="K116" i="27"/>
  <c r="J116" i="27"/>
  <c r="K261" i="27"/>
  <c r="J261" i="27"/>
  <c r="J189" i="27"/>
  <c r="K189" i="27"/>
  <c r="K226" i="27"/>
  <c r="J226" i="27"/>
  <c r="I245" i="27"/>
  <c r="E245" i="27"/>
  <c r="D262" i="27"/>
  <c r="I262" i="27"/>
  <c r="I263" i="27"/>
  <c r="K399" i="27"/>
  <c r="J399" i="27"/>
  <c r="K366" i="27"/>
  <c r="J366" i="27"/>
  <c r="I350" i="27"/>
  <c r="E350" i="27"/>
  <c r="D367" i="27"/>
  <c r="I367" i="27"/>
  <c r="I368" i="27"/>
  <c r="K330" i="27"/>
  <c r="J330" i="27"/>
  <c r="K326" i="27"/>
  <c r="J326" i="27"/>
  <c r="J152" i="27"/>
  <c r="K152" i="27"/>
  <c r="K117" i="27"/>
  <c r="J117" i="27"/>
  <c r="K364" i="27"/>
  <c r="J364" i="27"/>
  <c r="K256" i="27"/>
  <c r="J256" i="27"/>
  <c r="I210" i="27"/>
  <c r="E210" i="27"/>
  <c r="D227" i="27"/>
  <c r="I227" i="27"/>
  <c r="K151" i="27"/>
  <c r="J151" i="27"/>
  <c r="K191" i="27"/>
  <c r="J191" i="27"/>
  <c r="K295" i="27"/>
  <c r="J295" i="27"/>
  <c r="I280" i="27"/>
  <c r="E280" i="27"/>
  <c r="D297" i="27"/>
  <c r="I297" i="27"/>
  <c r="K252" i="27"/>
  <c r="J252" i="27"/>
  <c r="J155" i="27"/>
  <c r="K155" i="27"/>
  <c r="J294" i="27"/>
  <c r="K294" i="27"/>
  <c r="K257" i="27"/>
  <c r="J257" i="27"/>
  <c r="K154" i="27"/>
  <c r="J154" i="27"/>
  <c r="I315" i="27"/>
  <c r="E315" i="27"/>
  <c r="D332" i="27"/>
  <c r="I332" i="27"/>
  <c r="I333" i="27"/>
  <c r="K260" i="27"/>
  <c r="J260" i="27"/>
  <c r="K84" i="27"/>
  <c r="J84" i="27"/>
  <c r="K121" i="27"/>
  <c r="J121" i="27"/>
  <c r="K224" i="27"/>
  <c r="J224" i="27"/>
  <c r="K81" i="27"/>
  <c r="J81" i="27"/>
  <c r="K365" i="27"/>
  <c r="J365" i="27"/>
  <c r="K259" i="27"/>
  <c r="J259" i="27"/>
  <c r="K222" i="27"/>
  <c r="J222" i="27"/>
  <c r="J400" i="27"/>
  <c r="K400" i="27"/>
  <c r="K329" i="27"/>
  <c r="J329" i="27"/>
  <c r="K296" i="27"/>
  <c r="J296" i="27"/>
  <c r="K292" i="27"/>
  <c r="J292" i="27"/>
  <c r="K119" i="27"/>
  <c r="J119" i="27"/>
  <c r="J156" i="27"/>
  <c r="K156" i="27"/>
  <c r="J186" i="27"/>
  <c r="K186" i="27"/>
  <c r="J397" i="27"/>
  <c r="K397" i="27"/>
  <c r="I105" i="27"/>
  <c r="E105" i="27"/>
  <c r="D122" i="27"/>
  <c r="I122" i="27"/>
  <c r="K396" i="27"/>
  <c r="J396" i="27"/>
  <c r="I175" i="27"/>
  <c r="E175" i="27"/>
  <c r="D192" i="27"/>
  <c r="I192" i="27"/>
  <c r="I193" i="27"/>
  <c r="G39" i="20"/>
  <c r="G38" i="20"/>
  <c r="G42" i="20"/>
  <c r="G40" i="20"/>
  <c r="E48" i="15"/>
  <c r="J41" i="15"/>
  <c r="K41" i="15"/>
  <c r="I142" i="28"/>
  <c r="J157" i="28"/>
  <c r="J350" i="28"/>
  <c r="I358" i="28"/>
  <c r="D70" i="27"/>
  <c r="K333" i="28"/>
  <c r="K334" i="28"/>
  <c r="D70" i="28"/>
  <c r="E70" i="28"/>
  <c r="K59" i="28"/>
  <c r="J59" i="28"/>
  <c r="F66" i="22"/>
  <c r="F84" i="22"/>
  <c r="K59" i="27"/>
  <c r="J59" i="27"/>
  <c r="I86" i="28"/>
  <c r="I85" i="28"/>
  <c r="J62" i="28"/>
  <c r="K62" i="28"/>
  <c r="K63" i="27"/>
  <c r="J63" i="27"/>
  <c r="I85" i="27"/>
  <c r="I86" i="27"/>
  <c r="F62" i="22"/>
  <c r="F80" i="22"/>
  <c r="J62" i="27"/>
  <c r="K62" i="27"/>
  <c r="J63" i="28"/>
  <c r="K63" i="28"/>
  <c r="I194" i="28"/>
  <c r="F23" i="22"/>
  <c r="I299" i="28"/>
  <c r="F26" i="22"/>
  <c r="I334" i="28"/>
  <c r="F27" i="22"/>
  <c r="J263" i="28"/>
  <c r="J264" i="28"/>
  <c r="J193" i="28"/>
  <c r="J194" i="28"/>
  <c r="J333" i="28"/>
  <c r="J334" i="28"/>
  <c r="J368" i="28"/>
  <c r="J369" i="28"/>
  <c r="K193" i="28"/>
  <c r="K194" i="28"/>
  <c r="K403" i="28"/>
  <c r="K404" i="28"/>
  <c r="J228" i="28"/>
  <c r="J298" i="28"/>
  <c r="J299" i="28"/>
  <c r="K142" i="28"/>
  <c r="K148" i="28"/>
  <c r="J142" i="28"/>
  <c r="J148" i="28"/>
  <c r="I148" i="28"/>
  <c r="K212" i="28"/>
  <c r="K218" i="28"/>
  <c r="J212" i="28"/>
  <c r="J218" i="28"/>
  <c r="I218" i="28"/>
  <c r="I229" i="28"/>
  <c r="F24" i="22"/>
  <c r="K368" i="28"/>
  <c r="K369" i="28"/>
  <c r="I369" i="28"/>
  <c r="F28" i="22"/>
  <c r="K263" i="28"/>
  <c r="K264" i="28"/>
  <c r="J403" i="28"/>
  <c r="J404" i="28"/>
  <c r="K228" i="28"/>
  <c r="K298" i="28"/>
  <c r="K299" i="28"/>
  <c r="J122" i="27"/>
  <c r="K122" i="27"/>
  <c r="K385" i="27"/>
  <c r="J385" i="27"/>
  <c r="I387" i="27"/>
  <c r="K332" i="27"/>
  <c r="K333" i="27"/>
  <c r="J332" i="27"/>
  <c r="K297" i="27"/>
  <c r="K298" i="27"/>
  <c r="J297" i="27"/>
  <c r="J298" i="27"/>
  <c r="K227" i="27"/>
  <c r="J227" i="27"/>
  <c r="J228" i="27"/>
  <c r="J333" i="27"/>
  <c r="J367" i="27"/>
  <c r="J368" i="27"/>
  <c r="K367" i="27"/>
  <c r="K368" i="27"/>
  <c r="K140" i="27"/>
  <c r="J140" i="27"/>
  <c r="I142" i="27"/>
  <c r="I298" i="27"/>
  <c r="I228" i="27"/>
  <c r="J192" i="27"/>
  <c r="J193" i="27"/>
  <c r="K192" i="27"/>
  <c r="K193" i="27"/>
  <c r="K105" i="27"/>
  <c r="J105" i="27"/>
  <c r="I107" i="27"/>
  <c r="J262" i="27"/>
  <c r="J263" i="27"/>
  <c r="K262" i="27"/>
  <c r="K263" i="27"/>
  <c r="K402" i="27"/>
  <c r="J402" i="27"/>
  <c r="J403" i="27"/>
  <c r="J175" i="27"/>
  <c r="K175" i="27"/>
  <c r="I177" i="27"/>
  <c r="K245" i="27"/>
  <c r="J245" i="27"/>
  <c r="I247" i="27"/>
  <c r="K403" i="27"/>
  <c r="K315" i="27"/>
  <c r="J315" i="27"/>
  <c r="I317" i="27"/>
  <c r="J280" i="27"/>
  <c r="K280" i="27"/>
  <c r="I282" i="27"/>
  <c r="K210" i="27"/>
  <c r="J210" i="27"/>
  <c r="I212" i="27"/>
  <c r="K350" i="27"/>
  <c r="J350" i="27"/>
  <c r="I352" i="27"/>
  <c r="K157" i="27"/>
  <c r="J157" i="27"/>
  <c r="K228" i="27"/>
  <c r="J30" i="15"/>
  <c r="K29" i="15"/>
  <c r="G18" i="15"/>
  <c r="G13" i="15"/>
  <c r="I70" i="28"/>
  <c r="J70" i="28"/>
  <c r="E70" i="27"/>
  <c r="D87" i="27"/>
  <c r="I87" i="27"/>
  <c r="I70" i="27"/>
  <c r="D87" i="28"/>
  <c r="I87" i="28"/>
  <c r="J87" i="28"/>
  <c r="F60" i="22"/>
  <c r="F78" i="22"/>
  <c r="J85" i="27"/>
  <c r="K85" i="27"/>
  <c r="I72" i="28"/>
  <c r="F65" i="22"/>
  <c r="F83" i="22"/>
  <c r="J85" i="28"/>
  <c r="K85" i="28"/>
  <c r="F64" i="22"/>
  <c r="F82" i="22"/>
  <c r="K86" i="28"/>
  <c r="J86" i="28"/>
  <c r="F61" i="22"/>
  <c r="F79" i="22"/>
  <c r="F63" i="22"/>
  <c r="F81" i="22"/>
  <c r="J86" i="27"/>
  <c r="K86" i="27"/>
  <c r="K229" i="28"/>
  <c r="J229" i="28"/>
  <c r="J177" i="27"/>
  <c r="J183" i="27"/>
  <c r="J194" i="27"/>
  <c r="K177" i="27"/>
  <c r="K183" i="27"/>
  <c r="K194" i="27"/>
  <c r="I183" i="27"/>
  <c r="I194" i="27"/>
  <c r="E23" i="22"/>
  <c r="K107" i="27"/>
  <c r="K113" i="27"/>
  <c r="J107" i="27"/>
  <c r="J113" i="27"/>
  <c r="I113" i="27"/>
  <c r="K387" i="27"/>
  <c r="K393" i="27"/>
  <c r="K404" i="27"/>
  <c r="J387" i="27"/>
  <c r="J393" i="27"/>
  <c r="J404" i="27"/>
  <c r="I393" i="27"/>
  <c r="I404" i="27"/>
  <c r="E29" i="22"/>
  <c r="K142" i="27"/>
  <c r="K148" i="27"/>
  <c r="J142" i="27"/>
  <c r="J148" i="27"/>
  <c r="I148" i="27"/>
  <c r="K352" i="27"/>
  <c r="K358" i="27"/>
  <c r="K369" i="27"/>
  <c r="J352" i="27"/>
  <c r="J358" i="27"/>
  <c r="J369" i="27"/>
  <c r="I358" i="27"/>
  <c r="I369" i="27"/>
  <c r="E28" i="22"/>
  <c r="K317" i="27"/>
  <c r="K323" i="27"/>
  <c r="K334" i="27"/>
  <c r="J317" i="27"/>
  <c r="J323" i="27"/>
  <c r="J334" i="27"/>
  <c r="I323" i="27"/>
  <c r="I334" i="27"/>
  <c r="E27" i="22"/>
  <c r="K247" i="27"/>
  <c r="K253" i="27"/>
  <c r="K264" i="27"/>
  <c r="J247" i="27"/>
  <c r="J253" i="27"/>
  <c r="J264" i="27"/>
  <c r="I253" i="27"/>
  <c r="I264" i="27"/>
  <c r="E25" i="22"/>
  <c r="K212" i="27"/>
  <c r="K218" i="27"/>
  <c r="K229" i="27"/>
  <c r="J212" i="27"/>
  <c r="J218" i="27"/>
  <c r="J229" i="27"/>
  <c r="I218" i="27"/>
  <c r="I229" i="27"/>
  <c r="E24" i="22"/>
  <c r="J282" i="27"/>
  <c r="J288" i="27"/>
  <c r="J299" i="27"/>
  <c r="K282" i="27"/>
  <c r="K288" i="27"/>
  <c r="K299" i="27"/>
  <c r="I288" i="27"/>
  <c r="I299" i="27"/>
  <c r="E26" i="22"/>
  <c r="D98" i="24"/>
  <c r="E98" i="24"/>
  <c r="E343" i="24"/>
  <c r="D133" i="24"/>
  <c r="E168" i="24"/>
  <c r="E308" i="24"/>
  <c r="E273" i="24"/>
  <c r="E378" i="24"/>
  <c r="D63" i="24"/>
  <c r="E63" i="24"/>
  <c r="K30" i="15"/>
  <c r="J29" i="15"/>
  <c r="I35" i="15"/>
  <c r="J35" i="15"/>
  <c r="C52" i="24"/>
  <c r="C51" i="24"/>
  <c r="C50" i="24"/>
  <c r="C49" i="24"/>
  <c r="C48" i="24"/>
  <c r="C47" i="24"/>
  <c r="C46" i="24"/>
  <c r="C45" i="24"/>
  <c r="C44" i="24"/>
  <c r="C43" i="24"/>
  <c r="E84" i="24"/>
  <c r="D4" i="24"/>
  <c r="D5" i="24"/>
  <c r="E30" i="24"/>
  <c r="E33" i="24"/>
  <c r="K70" i="28"/>
  <c r="K87" i="28"/>
  <c r="J70" i="27"/>
  <c r="K70" i="27"/>
  <c r="I72" i="27"/>
  <c r="K87" i="27"/>
  <c r="J87" i="27"/>
  <c r="K72" i="28"/>
  <c r="K78" i="28"/>
  <c r="I78" i="28"/>
  <c r="J72" i="28"/>
  <c r="J78" i="28"/>
  <c r="E61" i="22"/>
  <c r="E79" i="22"/>
  <c r="E63" i="22"/>
  <c r="E81" i="22"/>
  <c r="E65" i="22"/>
  <c r="E83" i="22"/>
  <c r="E60" i="22"/>
  <c r="E78" i="22"/>
  <c r="E64" i="22"/>
  <c r="E82" i="22"/>
  <c r="E66" i="22"/>
  <c r="E84" i="22"/>
  <c r="E62" i="22"/>
  <c r="E80" i="22"/>
  <c r="D139" i="24"/>
  <c r="D209" i="24"/>
  <c r="K320" i="24"/>
  <c r="K285" i="24"/>
  <c r="K250" i="24"/>
  <c r="K145" i="24"/>
  <c r="K390" i="24"/>
  <c r="K355" i="24"/>
  <c r="K215" i="24"/>
  <c r="K179" i="24"/>
  <c r="K389" i="24"/>
  <c r="K319" i="24"/>
  <c r="K284" i="24"/>
  <c r="K249" i="24"/>
  <c r="K144" i="24"/>
  <c r="K214" i="24"/>
  <c r="K180" i="24"/>
  <c r="K354" i="24"/>
  <c r="F156" i="24"/>
  <c r="F401" i="24"/>
  <c r="F261" i="24"/>
  <c r="F191" i="24"/>
  <c r="F366" i="24"/>
  <c r="F296" i="24"/>
  <c r="F121" i="24"/>
  <c r="F86" i="24"/>
  <c r="F331" i="24"/>
  <c r="F226" i="24"/>
  <c r="D244" i="24"/>
  <c r="E238" i="24"/>
  <c r="F402" i="24"/>
  <c r="F262" i="24"/>
  <c r="F192" i="24"/>
  <c r="F332" i="24"/>
  <c r="F297" i="24"/>
  <c r="F122" i="24"/>
  <c r="F87" i="24"/>
  <c r="F367" i="24"/>
  <c r="F227" i="24"/>
  <c r="F157" i="24"/>
  <c r="F365" i="24"/>
  <c r="F330" i="24"/>
  <c r="F225" i="24"/>
  <c r="F155" i="24"/>
  <c r="F400" i="24"/>
  <c r="F260" i="24"/>
  <c r="F190" i="24"/>
  <c r="F85" i="24"/>
  <c r="F120" i="24"/>
  <c r="F295" i="24"/>
  <c r="E203" i="24"/>
  <c r="D349" i="24"/>
  <c r="D279" i="24"/>
  <c r="E133" i="24"/>
  <c r="J389" i="24"/>
  <c r="J354" i="24"/>
  <c r="J214" i="24"/>
  <c r="J180" i="24"/>
  <c r="J320" i="24"/>
  <c r="J285" i="24"/>
  <c r="J250" i="24"/>
  <c r="J145" i="24"/>
  <c r="J390" i="24"/>
  <c r="J355" i="24"/>
  <c r="J215" i="24"/>
  <c r="J179" i="24"/>
  <c r="J144" i="24"/>
  <c r="J319" i="24"/>
  <c r="J284" i="24"/>
  <c r="J249" i="24"/>
  <c r="F326" i="24"/>
  <c r="F291" i="24"/>
  <c r="F151" i="24"/>
  <c r="F361" i="24"/>
  <c r="F256" i="24"/>
  <c r="F396" i="24"/>
  <c r="F186" i="24"/>
  <c r="F221" i="24"/>
  <c r="F294" i="24"/>
  <c r="F119" i="24"/>
  <c r="F84" i="24"/>
  <c r="F364" i="24"/>
  <c r="F259" i="24"/>
  <c r="F399" i="24"/>
  <c r="F224" i="24"/>
  <c r="F154" i="24"/>
  <c r="F329" i="24"/>
  <c r="F189" i="24"/>
  <c r="D384" i="24"/>
  <c r="D314" i="24"/>
  <c r="D174" i="24"/>
  <c r="J75" i="24"/>
  <c r="J109" i="24"/>
  <c r="J110" i="24"/>
  <c r="D104" i="24"/>
  <c r="F81" i="24"/>
  <c r="F116" i="24"/>
  <c r="K75" i="24"/>
  <c r="K109" i="24"/>
  <c r="K110" i="24"/>
  <c r="F46" i="19"/>
  <c r="D6" i="24"/>
  <c r="J46" i="24"/>
  <c r="F176" i="24"/>
  <c r="H46" i="24"/>
  <c r="F168" i="24"/>
  <c r="I168" i="24"/>
  <c r="J50" i="24"/>
  <c r="F316" i="24"/>
  <c r="H50" i="24"/>
  <c r="F308" i="24"/>
  <c r="I308" i="24"/>
  <c r="J43" i="24"/>
  <c r="F71" i="24"/>
  <c r="H43" i="24"/>
  <c r="F63" i="24"/>
  <c r="I63" i="24"/>
  <c r="J47" i="24"/>
  <c r="F211" i="24"/>
  <c r="H47" i="24"/>
  <c r="F203" i="24"/>
  <c r="I203" i="24"/>
  <c r="J51" i="24"/>
  <c r="F351" i="24"/>
  <c r="H51" i="24"/>
  <c r="F343" i="24"/>
  <c r="I343" i="24"/>
  <c r="J45" i="24"/>
  <c r="F141" i="24"/>
  <c r="H45" i="24"/>
  <c r="F133" i="24"/>
  <c r="I133" i="24"/>
  <c r="J49" i="24"/>
  <c r="F281" i="24"/>
  <c r="H49" i="24"/>
  <c r="F273" i="24"/>
  <c r="I273" i="24"/>
  <c r="J44" i="24"/>
  <c r="F106" i="24"/>
  <c r="H44" i="24"/>
  <c r="F98" i="24"/>
  <c r="I98" i="24"/>
  <c r="J48" i="24"/>
  <c r="F246" i="24"/>
  <c r="H48" i="24"/>
  <c r="F238" i="24"/>
  <c r="I238" i="24"/>
  <c r="J52" i="24"/>
  <c r="F386" i="24"/>
  <c r="H52" i="24"/>
  <c r="F378" i="24"/>
  <c r="I378" i="24"/>
  <c r="F46" i="24"/>
  <c r="D173" i="24"/>
  <c r="G46" i="24"/>
  <c r="F167" i="24"/>
  <c r="F50" i="24"/>
  <c r="D313" i="24"/>
  <c r="G50" i="24"/>
  <c r="F307" i="24"/>
  <c r="F49" i="24"/>
  <c r="D278" i="24"/>
  <c r="G49" i="24"/>
  <c r="F272" i="24"/>
  <c r="F43" i="24"/>
  <c r="D68" i="24"/>
  <c r="G43" i="24"/>
  <c r="F62" i="24"/>
  <c r="G47" i="24"/>
  <c r="F202" i="24"/>
  <c r="F47" i="24"/>
  <c r="D208" i="24"/>
  <c r="G51" i="24"/>
  <c r="F342" i="24"/>
  <c r="F51" i="24"/>
  <c r="D348" i="24"/>
  <c r="G45" i="24"/>
  <c r="F132" i="24"/>
  <c r="F45" i="24"/>
  <c r="D138" i="24"/>
  <c r="G44" i="24"/>
  <c r="F97" i="24"/>
  <c r="F44" i="24"/>
  <c r="D103" i="24"/>
  <c r="G48" i="24"/>
  <c r="F237" i="24"/>
  <c r="F48" i="24"/>
  <c r="D243" i="24"/>
  <c r="G52" i="24"/>
  <c r="F377" i="24"/>
  <c r="F52" i="24"/>
  <c r="D383" i="24"/>
  <c r="D69" i="24"/>
  <c r="J18" i="24"/>
  <c r="K18" i="24"/>
  <c r="J12" i="24"/>
  <c r="J13" i="24"/>
  <c r="K12" i="24"/>
  <c r="K13" i="24"/>
  <c r="K35" i="15"/>
  <c r="K74" i="24"/>
  <c r="J74" i="24"/>
  <c r="K72" i="27"/>
  <c r="K78" i="27"/>
  <c r="J72" i="27"/>
  <c r="J78" i="27"/>
  <c r="I78" i="27"/>
  <c r="J343" i="24"/>
  <c r="K343" i="24"/>
  <c r="J203" i="24"/>
  <c r="K203" i="24"/>
  <c r="J168" i="24"/>
  <c r="K168" i="24"/>
  <c r="K378" i="24"/>
  <c r="J378" i="24"/>
  <c r="J273" i="24"/>
  <c r="K273" i="24"/>
  <c r="J238" i="24"/>
  <c r="K238" i="24"/>
  <c r="J308" i="24"/>
  <c r="K308" i="24"/>
  <c r="K133" i="24"/>
  <c r="J133" i="24"/>
  <c r="J98" i="24"/>
  <c r="K98" i="24"/>
  <c r="F47" i="19"/>
  <c r="I47" i="19"/>
  <c r="J47" i="19"/>
  <c r="I46" i="19"/>
  <c r="J63" i="24"/>
  <c r="K63" i="24"/>
  <c r="J31" i="15"/>
  <c r="K31" i="15"/>
  <c r="I48" i="19"/>
  <c r="J46" i="19"/>
  <c r="J48" i="19"/>
  <c r="J14" i="24"/>
  <c r="K14" i="24"/>
  <c r="H77" i="19"/>
  <c r="I77" i="19"/>
  <c r="G77" i="19"/>
  <c r="E82" i="19"/>
  <c r="F82" i="19"/>
  <c r="G82" i="19"/>
  <c r="J51" i="19"/>
  <c r="I78" i="19"/>
  <c r="H78" i="19"/>
  <c r="G78" i="19"/>
  <c r="J52" i="19"/>
  <c r="J40" i="15"/>
  <c r="K40" i="15"/>
  <c r="G12" i="15"/>
  <c r="H79" i="19"/>
  <c r="H80" i="19"/>
  <c r="G87" i="19"/>
  <c r="I118" i="28"/>
  <c r="I79" i="19"/>
  <c r="I80" i="19"/>
  <c r="G88" i="19"/>
  <c r="I153" i="28"/>
  <c r="G79" i="19"/>
  <c r="G80" i="19"/>
  <c r="G86" i="19"/>
  <c r="I83" i="28"/>
  <c r="E80" i="19"/>
  <c r="F80" i="19"/>
  <c r="I36" i="15"/>
  <c r="F36" i="20"/>
  <c r="F41" i="20"/>
  <c r="F37" i="20"/>
  <c r="I37" i="15"/>
  <c r="J83" i="28"/>
  <c r="J88" i="28"/>
  <c r="J89" i="28"/>
  <c r="K83" i="28"/>
  <c r="K88" i="28"/>
  <c r="K89" i="28"/>
  <c r="F83" i="28"/>
  <c r="I88" i="28"/>
  <c r="I89" i="28"/>
  <c r="F20" i="22"/>
  <c r="K153" i="28"/>
  <c r="K158" i="28"/>
  <c r="K159" i="28"/>
  <c r="J153" i="28"/>
  <c r="J158" i="28"/>
  <c r="J159" i="28"/>
  <c r="I158" i="28"/>
  <c r="I159" i="28"/>
  <c r="F22" i="22"/>
  <c r="F153" i="28"/>
  <c r="K118" i="28"/>
  <c r="K123" i="28"/>
  <c r="K124" i="28"/>
  <c r="J118" i="28"/>
  <c r="J123" i="28"/>
  <c r="J124" i="28"/>
  <c r="F118" i="28"/>
  <c r="I123" i="28"/>
  <c r="I124" i="28"/>
  <c r="F21" i="22"/>
  <c r="F76" i="22"/>
  <c r="F181" i="24"/>
  <c r="F321" i="24"/>
  <c r="F286" i="24"/>
  <c r="F251" i="24"/>
  <c r="F146" i="24"/>
  <c r="F111" i="24"/>
  <c r="F391" i="24"/>
  <c r="F216" i="24"/>
  <c r="F76" i="24"/>
  <c r="F356" i="24"/>
  <c r="D339" i="24"/>
  <c r="D304" i="24"/>
  <c r="D374" i="24"/>
  <c r="D234" i="24"/>
  <c r="D164" i="24"/>
  <c r="D129" i="24"/>
  <c r="D199" i="24"/>
  <c r="D269" i="24"/>
  <c r="D94" i="24"/>
  <c r="I48" i="15"/>
  <c r="K48" i="15"/>
  <c r="F15" i="24"/>
  <c r="I51" i="24"/>
  <c r="F350" i="24"/>
  <c r="I48" i="24"/>
  <c r="F245" i="24"/>
  <c r="I44" i="24"/>
  <c r="F105" i="24"/>
  <c r="I46" i="24"/>
  <c r="F175" i="24"/>
  <c r="I49" i="24"/>
  <c r="F280" i="24"/>
  <c r="I52" i="24"/>
  <c r="F385" i="24"/>
  <c r="I47" i="24"/>
  <c r="F210" i="24"/>
  <c r="I50" i="24"/>
  <c r="F315" i="24"/>
  <c r="I43" i="24"/>
  <c r="F70" i="24"/>
  <c r="I45" i="24"/>
  <c r="F140" i="24"/>
  <c r="E46" i="24"/>
  <c r="D171" i="24"/>
  <c r="E44" i="24"/>
  <c r="D101" i="24"/>
  <c r="E50" i="24"/>
  <c r="D311" i="24"/>
  <c r="E43" i="24"/>
  <c r="D66" i="24"/>
  <c r="E48" i="24"/>
  <c r="D241" i="24"/>
  <c r="E49" i="24"/>
  <c r="D276" i="24"/>
  <c r="E51" i="24"/>
  <c r="D346" i="24"/>
  <c r="E45" i="24"/>
  <c r="D136" i="24"/>
  <c r="E52" i="24"/>
  <c r="D381" i="24"/>
  <c r="E47" i="24"/>
  <c r="D206" i="24"/>
  <c r="D59" i="24"/>
  <c r="D15" i="24"/>
  <c r="D44" i="24"/>
  <c r="D48" i="24"/>
  <c r="D52" i="24"/>
  <c r="D380" i="24"/>
  <c r="D43" i="24"/>
  <c r="D45" i="24"/>
  <c r="D46" i="24"/>
  <c r="D50" i="24"/>
  <c r="D51" i="24"/>
  <c r="D47" i="24"/>
  <c r="D49" i="24"/>
  <c r="F87" i="19"/>
  <c r="I118" i="27"/>
  <c r="F86" i="19"/>
  <c r="I83" i="27"/>
  <c r="F88" i="19"/>
  <c r="I153" i="27"/>
  <c r="G41" i="20"/>
  <c r="J48" i="15"/>
  <c r="I34" i="15"/>
  <c r="D38" i="15"/>
  <c r="D50" i="15"/>
  <c r="I50" i="15"/>
  <c r="J50" i="15"/>
  <c r="G37" i="20"/>
  <c r="K50" i="15"/>
  <c r="K34" i="15"/>
  <c r="F57" i="22"/>
  <c r="F75" i="22"/>
  <c r="F59" i="22"/>
  <c r="F77" i="22"/>
  <c r="F30" i="22"/>
  <c r="F58" i="22"/>
  <c r="J83" i="27"/>
  <c r="J88" i="27"/>
  <c r="J89" i="27"/>
  <c r="K83" i="27"/>
  <c r="K88" i="27"/>
  <c r="K89" i="27"/>
  <c r="F83" i="27"/>
  <c r="I88" i="27"/>
  <c r="I89" i="27"/>
  <c r="E20" i="22"/>
  <c r="J153" i="27"/>
  <c r="J158" i="27"/>
  <c r="J159" i="27"/>
  <c r="K153" i="27"/>
  <c r="K158" i="27"/>
  <c r="K159" i="27"/>
  <c r="F153" i="27"/>
  <c r="I158" i="27"/>
  <c r="I159" i="27"/>
  <c r="E22" i="22"/>
  <c r="J118" i="27"/>
  <c r="J123" i="27"/>
  <c r="J124" i="27"/>
  <c r="K118" i="27"/>
  <c r="K123" i="27"/>
  <c r="K124" i="27"/>
  <c r="F118" i="27"/>
  <c r="I123" i="27"/>
  <c r="I124" i="27"/>
  <c r="E21" i="22"/>
  <c r="D240" i="24"/>
  <c r="D170" i="24"/>
  <c r="D345" i="24"/>
  <c r="D275" i="24"/>
  <c r="D310" i="24"/>
  <c r="D205" i="24"/>
  <c r="D135" i="24"/>
  <c r="E307" i="24"/>
  <c r="D132" i="24"/>
  <c r="D97" i="24"/>
  <c r="E97" i="24"/>
  <c r="E237" i="24"/>
  <c r="E342" i="24"/>
  <c r="E167" i="24"/>
  <c r="E272" i="24"/>
  <c r="D100" i="24"/>
  <c r="D117" i="24"/>
  <c r="I117" i="24"/>
  <c r="D396" i="24"/>
  <c r="D221" i="24"/>
  <c r="D186" i="24"/>
  <c r="D326" i="24"/>
  <c r="D291" i="24"/>
  <c r="D151" i="24"/>
  <c r="D361" i="24"/>
  <c r="D256" i="24"/>
  <c r="K19" i="24"/>
  <c r="D62" i="24"/>
  <c r="E62" i="24"/>
  <c r="D81" i="24"/>
  <c r="D83" i="24"/>
  <c r="D116" i="24"/>
  <c r="F43" i="20"/>
  <c r="G15" i="24"/>
  <c r="I47" i="15"/>
  <c r="J31" i="24"/>
  <c r="K31" i="24"/>
  <c r="D65" i="24"/>
  <c r="D82" i="24"/>
  <c r="I82" i="24"/>
  <c r="D21" i="24"/>
  <c r="D53" i="15"/>
  <c r="I53" i="15"/>
  <c r="I42" i="15"/>
  <c r="J47" i="15"/>
  <c r="J49" i="15"/>
  <c r="I49" i="15"/>
  <c r="K47" i="15"/>
  <c r="K49" i="15"/>
  <c r="G36" i="20"/>
  <c r="K20" i="24"/>
  <c r="J20" i="24"/>
  <c r="J17" i="24"/>
  <c r="J34" i="15"/>
  <c r="J37" i="15"/>
  <c r="K37" i="15"/>
  <c r="F85" i="22"/>
  <c r="F86" i="22"/>
  <c r="F67" i="22"/>
  <c r="F68" i="22"/>
  <c r="E58" i="22"/>
  <c r="E76" i="22"/>
  <c r="E57" i="22"/>
  <c r="E75" i="22"/>
  <c r="E59" i="22"/>
  <c r="E77" i="22"/>
  <c r="E30" i="22"/>
  <c r="D67" i="24"/>
  <c r="D70" i="24"/>
  <c r="E70" i="24"/>
  <c r="J19" i="24"/>
  <c r="D106" i="24"/>
  <c r="D391" i="24"/>
  <c r="I391" i="24"/>
  <c r="D386" i="24"/>
  <c r="I386" i="24"/>
  <c r="D356" i="24"/>
  <c r="I356" i="24"/>
  <c r="D316" i="24"/>
  <c r="D216" i="24"/>
  <c r="I216" i="24"/>
  <c r="D211" i="24"/>
  <c r="I211" i="24"/>
  <c r="D176" i="24"/>
  <c r="I176" i="24"/>
  <c r="D111" i="24"/>
  <c r="I111" i="24"/>
  <c r="D281" i="24"/>
  <c r="D141" i="24"/>
  <c r="I141" i="24"/>
  <c r="D76" i="24"/>
  <c r="D351" i="24"/>
  <c r="I351" i="24"/>
  <c r="D181" i="24"/>
  <c r="I181" i="24"/>
  <c r="D321" i="24"/>
  <c r="I321" i="24"/>
  <c r="D286" i="24"/>
  <c r="I286" i="24"/>
  <c r="D146" i="24"/>
  <c r="I146" i="24"/>
  <c r="D246" i="24"/>
  <c r="I246" i="24"/>
  <c r="D251" i="24"/>
  <c r="I251" i="24"/>
  <c r="D294" i="24"/>
  <c r="I294" i="24"/>
  <c r="D293" i="24"/>
  <c r="I291" i="24"/>
  <c r="D399" i="24"/>
  <c r="I399" i="24"/>
  <c r="I396" i="24"/>
  <c r="D398" i="24"/>
  <c r="D222" i="24"/>
  <c r="I222" i="24"/>
  <c r="D187" i="24"/>
  <c r="I187" i="24"/>
  <c r="D172" i="24"/>
  <c r="D175" i="24"/>
  <c r="I167" i="24"/>
  <c r="D207" i="24"/>
  <c r="D210" i="24"/>
  <c r="I202" i="24"/>
  <c r="E202" i="24"/>
  <c r="E132" i="24"/>
  <c r="D137" i="24"/>
  <c r="D140" i="24"/>
  <c r="I132" i="24"/>
  <c r="D224" i="24"/>
  <c r="I224" i="24"/>
  <c r="D223" i="24"/>
  <c r="I221" i="24"/>
  <c r="D327" i="24"/>
  <c r="I327" i="24"/>
  <c r="I256" i="24"/>
  <c r="D259" i="24"/>
  <c r="I259" i="24"/>
  <c r="D258" i="24"/>
  <c r="D329" i="24"/>
  <c r="I329" i="24"/>
  <c r="D328" i="24"/>
  <c r="I326" i="24"/>
  <c r="D152" i="24"/>
  <c r="I152" i="24"/>
  <c r="D257" i="24"/>
  <c r="I257" i="24"/>
  <c r="D347" i="24"/>
  <c r="I342" i="24"/>
  <c r="I237" i="24"/>
  <c r="D242" i="24"/>
  <c r="D245" i="24"/>
  <c r="D262" i="24"/>
  <c r="I262" i="24"/>
  <c r="D154" i="24"/>
  <c r="I154" i="24"/>
  <c r="D153" i="24"/>
  <c r="I151" i="24"/>
  <c r="D362" i="24"/>
  <c r="I362" i="24"/>
  <c r="D350" i="24"/>
  <c r="D364" i="24"/>
  <c r="I364" i="24"/>
  <c r="D363" i="24"/>
  <c r="I361" i="24"/>
  <c r="D189" i="24"/>
  <c r="I189" i="24"/>
  <c r="D188" i="24"/>
  <c r="I186" i="24"/>
  <c r="D397" i="24"/>
  <c r="I397" i="24"/>
  <c r="I307" i="24"/>
  <c r="D312" i="24"/>
  <c r="D315" i="24"/>
  <c r="D332" i="24"/>
  <c r="I332" i="24"/>
  <c r="D382" i="24"/>
  <c r="D385" i="24"/>
  <c r="I377" i="24"/>
  <c r="E377" i="24"/>
  <c r="D277" i="24"/>
  <c r="I272" i="24"/>
  <c r="J117" i="24"/>
  <c r="K117" i="24"/>
  <c r="D119" i="24"/>
  <c r="I119" i="24"/>
  <c r="I116" i="24"/>
  <c r="D118" i="24"/>
  <c r="D102" i="24"/>
  <c r="D105" i="24"/>
  <c r="I97" i="24"/>
  <c r="D71" i="24"/>
  <c r="K52" i="24"/>
  <c r="F374" i="24"/>
  <c r="K47" i="24"/>
  <c r="F199" i="24"/>
  <c r="K49" i="24"/>
  <c r="F269" i="24"/>
  <c r="K46" i="24"/>
  <c r="F164" i="24"/>
  <c r="K50" i="24"/>
  <c r="F304" i="24"/>
  <c r="K44" i="24"/>
  <c r="F94" i="24"/>
  <c r="K51" i="24"/>
  <c r="F339" i="24"/>
  <c r="K43" i="24"/>
  <c r="K48" i="24"/>
  <c r="F234" i="24"/>
  <c r="K45" i="24"/>
  <c r="F129" i="24"/>
  <c r="F44" i="20"/>
  <c r="F59" i="24"/>
  <c r="G43" i="20"/>
  <c r="J82" i="24"/>
  <c r="K82" i="24"/>
  <c r="D84" i="24"/>
  <c r="I84" i="24"/>
  <c r="J84" i="24"/>
  <c r="I81" i="24"/>
  <c r="J81" i="24"/>
  <c r="I62" i="24"/>
  <c r="K62" i="24"/>
  <c r="J21" i="24"/>
  <c r="J53" i="15"/>
  <c r="K53" i="15"/>
  <c r="K17" i="24"/>
  <c r="J42" i="15"/>
  <c r="I43" i="15"/>
  <c r="K42" i="15"/>
  <c r="J11" i="24"/>
  <c r="J15" i="24"/>
  <c r="K11" i="24"/>
  <c r="K15" i="24"/>
  <c r="E85" i="22"/>
  <c r="E86" i="22"/>
  <c r="E67" i="22"/>
  <c r="E68" i="22"/>
  <c r="D400" i="24"/>
  <c r="D225" i="24"/>
  <c r="D260" i="24"/>
  <c r="D190" i="24"/>
  <c r="D365" i="24"/>
  <c r="D155" i="24"/>
  <c r="K262" i="24"/>
  <c r="J262" i="24"/>
  <c r="I140" i="24"/>
  <c r="I142" i="24"/>
  <c r="E140" i="24"/>
  <c r="D157" i="24"/>
  <c r="I157" i="24"/>
  <c r="E210" i="24"/>
  <c r="I210" i="24"/>
  <c r="I212" i="24"/>
  <c r="D227" i="24"/>
  <c r="I227" i="24"/>
  <c r="I385" i="24"/>
  <c r="I387" i="24"/>
  <c r="E385" i="24"/>
  <c r="D402" i="24"/>
  <c r="I402" i="24"/>
  <c r="D280" i="24"/>
  <c r="D292" i="24"/>
  <c r="I292" i="24"/>
  <c r="K221" i="24"/>
  <c r="J221" i="24"/>
  <c r="K286" i="24"/>
  <c r="I287" i="24"/>
  <c r="J286" i="24"/>
  <c r="K176" i="24"/>
  <c r="J176" i="24"/>
  <c r="J272" i="24"/>
  <c r="K272" i="24"/>
  <c r="K377" i="24"/>
  <c r="J377" i="24"/>
  <c r="K307" i="24"/>
  <c r="J307" i="24"/>
  <c r="K189" i="24"/>
  <c r="J189" i="24"/>
  <c r="I350" i="24"/>
  <c r="I352" i="24"/>
  <c r="E350" i="24"/>
  <c r="K154" i="24"/>
  <c r="J154" i="24"/>
  <c r="D367" i="24"/>
  <c r="I367" i="24"/>
  <c r="J257" i="24"/>
  <c r="K257" i="24"/>
  <c r="K256" i="24"/>
  <c r="J256" i="24"/>
  <c r="I175" i="24"/>
  <c r="I177" i="24"/>
  <c r="E175" i="24"/>
  <c r="J396" i="24"/>
  <c r="K396" i="24"/>
  <c r="J294" i="24"/>
  <c r="K294" i="24"/>
  <c r="J251" i="24"/>
  <c r="K251" i="24"/>
  <c r="I252" i="24"/>
  <c r="J321" i="24"/>
  <c r="K321" i="24"/>
  <c r="I322" i="24"/>
  <c r="J141" i="24"/>
  <c r="K141" i="24"/>
  <c r="J211" i="24"/>
  <c r="K211" i="24"/>
  <c r="K386" i="24"/>
  <c r="J386" i="24"/>
  <c r="K364" i="24"/>
  <c r="J364" i="24"/>
  <c r="J237" i="24"/>
  <c r="K237" i="24"/>
  <c r="K259" i="24"/>
  <c r="J259" i="24"/>
  <c r="J222" i="24"/>
  <c r="K222" i="24"/>
  <c r="K361" i="24"/>
  <c r="J361" i="24"/>
  <c r="K362" i="24"/>
  <c r="J362" i="24"/>
  <c r="K342" i="24"/>
  <c r="J342" i="24"/>
  <c r="K329" i="24"/>
  <c r="J329" i="24"/>
  <c r="E315" i="24"/>
  <c r="I315" i="24"/>
  <c r="J224" i="24"/>
  <c r="K224" i="24"/>
  <c r="D192" i="24"/>
  <c r="I192" i="24"/>
  <c r="J187" i="24"/>
  <c r="K187" i="24"/>
  <c r="J399" i="24"/>
  <c r="K399" i="24"/>
  <c r="J246" i="24"/>
  <c r="K246" i="24"/>
  <c r="I182" i="24"/>
  <c r="J181" i="24"/>
  <c r="K181" i="24"/>
  <c r="J216" i="24"/>
  <c r="K216" i="24"/>
  <c r="I217" i="24"/>
  <c r="I392" i="24"/>
  <c r="J391" i="24"/>
  <c r="K391" i="24"/>
  <c r="J332" i="24"/>
  <c r="K332" i="24"/>
  <c r="I245" i="24"/>
  <c r="E245" i="24"/>
  <c r="K326" i="24"/>
  <c r="J326" i="24"/>
  <c r="K202" i="24"/>
  <c r="J202" i="24"/>
  <c r="J356" i="24"/>
  <c r="K356" i="24"/>
  <c r="I357" i="24"/>
  <c r="D120" i="24"/>
  <c r="J397" i="24"/>
  <c r="K397" i="24"/>
  <c r="K186" i="24"/>
  <c r="J186" i="24"/>
  <c r="K151" i="24"/>
  <c r="J151" i="24"/>
  <c r="J152" i="24"/>
  <c r="K152" i="24"/>
  <c r="J327" i="24"/>
  <c r="K327" i="24"/>
  <c r="K132" i="24"/>
  <c r="J132" i="24"/>
  <c r="J167" i="24"/>
  <c r="K167" i="24"/>
  <c r="K291" i="24"/>
  <c r="J291" i="24"/>
  <c r="I147" i="24"/>
  <c r="K146" i="24"/>
  <c r="J146" i="24"/>
  <c r="K351" i="24"/>
  <c r="J351" i="24"/>
  <c r="I112" i="24"/>
  <c r="K111" i="24"/>
  <c r="J111" i="24"/>
  <c r="D122" i="24"/>
  <c r="I122" i="24"/>
  <c r="J122" i="24"/>
  <c r="E105" i="24"/>
  <c r="K97" i="24"/>
  <c r="J97" i="24"/>
  <c r="K116" i="24"/>
  <c r="J116" i="24"/>
  <c r="J119" i="24"/>
  <c r="K119" i="24"/>
  <c r="K84" i="24"/>
  <c r="G44" i="20"/>
  <c r="L47" i="24"/>
  <c r="G199" i="24"/>
  <c r="I199" i="24"/>
  <c r="L44" i="24"/>
  <c r="G94" i="24"/>
  <c r="I94" i="24"/>
  <c r="L50" i="24"/>
  <c r="G304" i="24"/>
  <c r="L52" i="24"/>
  <c r="G374" i="24"/>
  <c r="I374" i="24"/>
  <c r="L46" i="24"/>
  <c r="G164" i="24"/>
  <c r="I164" i="24"/>
  <c r="L48" i="24"/>
  <c r="G234" i="24"/>
  <c r="I234" i="24"/>
  <c r="L43" i="24"/>
  <c r="G59" i="24"/>
  <c r="I59" i="24"/>
  <c r="L45" i="24"/>
  <c r="G129" i="24"/>
  <c r="I129" i="24"/>
  <c r="L51" i="24"/>
  <c r="G339" i="24"/>
  <c r="I339" i="24"/>
  <c r="L49" i="24"/>
  <c r="G269" i="24"/>
  <c r="J33" i="24"/>
  <c r="K33" i="24"/>
  <c r="D85" i="24"/>
  <c r="K30" i="24"/>
  <c r="K32" i="24"/>
  <c r="J30" i="24"/>
  <c r="J32" i="24"/>
  <c r="K21" i="24"/>
  <c r="I70" i="24"/>
  <c r="D87" i="24"/>
  <c r="I87" i="24"/>
  <c r="K81" i="24"/>
  <c r="J62" i="24"/>
  <c r="K25" i="24"/>
  <c r="J25" i="24"/>
  <c r="J43" i="15"/>
  <c r="K43" i="15"/>
  <c r="I76" i="24"/>
  <c r="I71" i="24"/>
  <c r="J36" i="24"/>
  <c r="K36" i="24"/>
  <c r="J34" i="24"/>
  <c r="K34" i="24"/>
  <c r="K35" i="24"/>
  <c r="J35" i="24"/>
  <c r="K374" i="24"/>
  <c r="J374" i="24"/>
  <c r="I400" i="24"/>
  <c r="I401" i="24"/>
  <c r="J339" i="24"/>
  <c r="K339" i="24"/>
  <c r="J199" i="24"/>
  <c r="K199" i="24"/>
  <c r="K129" i="24"/>
  <c r="J129" i="24"/>
  <c r="K234" i="24"/>
  <c r="J234" i="24"/>
  <c r="J164" i="24"/>
  <c r="K164" i="24"/>
  <c r="I261" i="24"/>
  <c r="I260" i="24"/>
  <c r="I155" i="24"/>
  <c r="I156" i="24"/>
  <c r="I226" i="24"/>
  <c r="I225" i="24"/>
  <c r="I365" i="24"/>
  <c r="I366" i="24"/>
  <c r="I190" i="24"/>
  <c r="I191" i="24"/>
  <c r="K94" i="24"/>
  <c r="J94" i="24"/>
  <c r="J112" i="24"/>
  <c r="K112" i="24"/>
  <c r="K245" i="24"/>
  <c r="J245" i="24"/>
  <c r="K175" i="24"/>
  <c r="J175" i="24"/>
  <c r="J147" i="24"/>
  <c r="K147" i="24"/>
  <c r="I121" i="24"/>
  <c r="I120" i="24"/>
  <c r="K192" i="24"/>
  <c r="J192" i="24"/>
  <c r="K367" i="24"/>
  <c r="J367" i="24"/>
  <c r="K287" i="24"/>
  <c r="J287" i="24"/>
  <c r="K402" i="24"/>
  <c r="J402" i="24"/>
  <c r="K210" i="24"/>
  <c r="J210" i="24"/>
  <c r="J140" i="24"/>
  <c r="K140" i="24"/>
  <c r="K177" i="24"/>
  <c r="J177" i="24"/>
  <c r="I183" i="24"/>
  <c r="K217" i="24"/>
  <c r="J217" i="24"/>
  <c r="K315" i="24"/>
  <c r="J315" i="24"/>
  <c r="I280" i="24"/>
  <c r="E280" i="24"/>
  <c r="D297" i="24"/>
  <c r="I297" i="24"/>
  <c r="J212" i="24"/>
  <c r="K212" i="24"/>
  <c r="K218" i="24"/>
  <c r="I218" i="24"/>
  <c r="J182" i="24"/>
  <c r="K182" i="24"/>
  <c r="K352" i="24"/>
  <c r="J352" i="24"/>
  <c r="I358" i="24"/>
  <c r="I316" i="24"/>
  <c r="I317" i="24"/>
  <c r="J387" i="24"/>
  <c r="K387" i="24"/>
  <c r="I393" i="24"/>
  <c r="D295" i="24"/>
  <c r="I269" i="24"/>
  <c r="K322" i="24"/>
  <c r="J322" i="24"/>
  <c r="D330" i="24"/>
  <c r="I304" i="24"/>
  <c r="K227" i="24"/>
  <c r="J227" i="24"/>
  <c r="K142" i="24"/>
  <c r="J142" i="24"/>
  <c r="I148" i="24"/>
  <c r="K357" i="24"/>
  <c r="J357" i="24"/>
  <c r="K392" i="24"/>
  <c r="J392" i="24"/>
  <c r="I247" i="24"/>
  <c r="K252" i="24"/>
  <c r="J252" i="24"/>
  <c r="J350" i="24"/>
  <c r="K350" i="24"/>
  <c r="I281" i="24"/>
  <c r="J292" i="24"/>
  <c r="K292" i="24"/>
  <c r="J385" i="24"/>
  <c r="K385" i="24"/>
  <c r="K157" i="24"/>
  <c r="J157" i="24"/>
  <c r="K122" i="24"/>
  <c r="I86" i="24"/>
  <c r="I85" i="24"/>
  <c r="J59" i="24"/>
  <c r="K59" i="24"/>
  <c r="K70" i="24"/>
  <c r="J70" i="24"/>
  <c r="J37" i="24"/>
  <c r="K37" i="24"/>
  <c r="J87" i="24"/>
  <c r="K87" i="24"/>
  <c r="K71" i="24"/>
  <c r="J71" i="24"/>
  <c r="I72" i="24"/>
  <c r="J26" i="24"/>
  <c r="J27" i="24"/>
  <c r="K26" i="24"/>
  <c r="K27" i="24"/>
  <c r="C21" i="22"/>
  <c r="C22" i="22"/>
  <c r="C23" i="22"/>
  <c r="C24" i="22"/>
  <c r="C25" i="22"/>
  <c r="C26" i="22"/>
  <c r="C27" i="22"/>
  <c r="C28" i="22"/>
  <c r="C29" i="22"/>
  <c r="I77" i="24"/>
  <c r="K76" i="24"/>
  <c r="J76" i="24"/>
  <c r="J148" i="24"/>
  <c r="J400" i="24"/>
  <c r="K400" i="24"/>
  <c r="J401" i="24"/>
  <c r="K401" i="24"/>
  <c r="J317" i="24"/>
  <c r="K317" i="24"/>
  <c r="J365" i="24"/>
  <c r="K365" i="24"/>
  <c r="J155" i="24"/>
  <c r="K155" i="24"/>
  <c r="J190" i="24"/>
  <c r="K190" i="24"/>
  <c r="K183" i="24"/>
  <c r="K226" i="24"/>
  <c r="J226" i="24"/>
  <c r="J191" i="24"/>
  <c r="K191" i="24"/>
  <c r="K261" i="24"/>
  <c r="J261" i="24"/>
  <c r="J225" i="24"/>
  <c r="K225" i="24"/>
  <c r="K358" i="24"/>
  <c r="I282" i="24"/>
  <c r="K366" i="24"/>
  <c r="J366" i="24"/>
  <c r="J156" i="24"/>
  <c r="K156" i="24"/>
  <c r="K260" i="24"/>
  <c r="J260" i="24"/>
  <c r="K148" i="24"/>
  <c r="K393" i="24"/>
  <c r="J316" i="24"/>
  <c r="K316" i="24"/>
  <c r="J218" i="24"/>
  <c r="K280" i="24"/>
  <c r="J280" i="24"/>
  <c r="K247" i="24"/>
  <c r="K253" i="24"/>
  <c r="J247" i="24"/>
  <c r="J253" i="24"/>
  <c r="I253" i="24"/>
  <c r="J304" i="24"/>
  <c r="K304" i="24"/>
  <c r="I323" i="24"/>
  <c r="K269" i="24"/>
  <c r="J269" i="24"/>
  <c r="J393" i="24"/>
  <c r="K120" i="24"/>
  <c r="J120" i="24"/>
  <c r="J281" i="24"/>
  <c r="K281" i="24"/>
  <c r="I331" i="24"/>
  <c r="I330" i="24"/>
  <c r="I296" i="24"/>
  <c r="I295" i="24"/>
  <c r="J358" i="24"/>
  <c r="K297" i="24"/>
  <c r="J297" i="24"/>
  <c r="J183" i="24"/>
  <c r="K121" i="24"/>
  <c r="J121" i="24"/>
  <c r="J85" i="24"/>
  <c r="K85" i="24"/>
  <c r="J86" i="24"/>
  <c r="K86" i="24"/>
  <c r="J38" i="24"/>
  <c r="K38" i="24"/>
  <c r="J77" i="24"/>
  <c r="K77" i="24"/>
  <c r="I78" i="24"/>
  <c r="I105" i="24"/>
  <c r="K72" i="24"/>
  <c r="J72" i="24"/>
  <c r="C30" i="22"/>
  <c r="E86" i="19"/>
  <c r="E87" i="19"/>
  <c r="I118" i="24"/>
  <c r="F31" i="22"/>
  <c r="E31" i="22"/>
  <c r="K323" i="24"/>
  <c r="J323" i="24"/>
  <c r="K118" i="24"/>
  <c r="K123" i="24"/>
  <c r="J118" i="24"/>
  <c r="J123" i="24"/>
  <c r="F118" i="24"/>
  <c r="I123" i="24"/>
  <c r="J282" i="24"/>
  <c r="J288" i="24"/>
  <c r="K282" i="24"/>
  <c r="K288" i="24"/>
  <c r="I288" i="24"/>
  <c r="K295" i="24"/>
  <c r="J295" i="24"/>
  <c r="J296" i="24"/>
  <c r="K296" i="24"/>
  <c r="J330" i="24"/>
  <c r="K330" i="24"/>
  <c r="J331" i="24"/>
  <c r="K331" i="24"/>
  <c r="K105" i="24"/>
  <c r="J105" i="24"/>
  <c r="I83" i="24"/>
  <c r="K78" i="24"/>
  <c r="J78" i="24"/>
  <c r="I106" i="24"/>
  <c r="I107" i="24"/>
  <c r="E88" i="19"/>
  <c r="I153" i="24"/>
  <c r="F96" i="19"/>
  <c r="F97" i="19"/>
  <c r="G96" i="19"/>
  <c r="G97" i="19"/>
  <c r="J153" i="24"/>
  <c r="J158" i="24"/>
  <c r="J159" i="24"/>
  <c r="K153" i="24"/>
  <c r="K158" i="24"/>
  <c r="K159" i="24"/>
  <c r="F153" i="24"/>
  <c r="I158" i="24"/>
  <c r="I159" i="24"/>
  <c r="D22" i="22"/>
  <c r="K107" i="24"/>
  <c r="K113" i="24"/>
  <c r="K124" i="24"/>
  <c r="J107" i="24"/>
  <c r="J113" i="24"/>
  <c r="J124" i="24"/>
  <c r="I113" i="24"/>
  <c r="I124" i="24"/>
  <c r="D21" i="22"/>
  <c r="J106" i="24"/>
  <c r="K106" i="24"/>
  <c r="F99" i="19"/>
  <c r="F98" i="19"/>
  <c r="G98" i="19"/>
  <c r="G99" i="19"/>
  <c r="E89" i="19"/>
  <c r="I188" i="24"/>
  <c r="D59" i="22"/>
  <c r="D77" i="22"/>
  <c r="D76" i="22"/>
  <c r="D58" i="22"/>
  <c r="K188" i="24"/>
  <c r="K193" i="24"/>
  <c r="K194" i="24"/>
  <c r="J188" i="24"/>
  <c r="J193" i="24"/>
  <c r="J194" i="24"/>
  <c r="F188" i="24"/>
  <c r="I193" i="24"/>
  <c r="I194" i="24"/>
  <c r="D23" i="22"/>
  <c r="E90" i="19"/>
  <c r="I223" i="24"/>
  <c r="E47" i="15"/>
  <c r="D60" i="22"/>
  <c r="D78" i="22"/>
  <c r="K223" i="24"/>
  <c r="K228" i="24"/>
  <c r="K229" i="24"/>
  <c r="J223" i="24"/>
  <c r="J228" i="24"/>
  <c r="J229" i="24"/>
  <c r="F223" i="24"/>
  <c r="I228" i="24"/>
  <c r="I229" i="24"/>
  <c r="D24" i="22"/>
  <c r="I51" i="15"/>
  <c r="I52" i="15"/>
  <c r="E91" i="19"/>
  <c r="I258" i="24"/>
  <c r="I38" i="15"/>
  <c r="I44" i="15"/>
  <c r="J36" i="15"/>
  <c r="K36" i="15"/>
  <c r="E50" i="15"/>
  <c r="D61" i="22"/>
  <c r="D79" i="22"/>
  <c r="K258" i="24"/>
  <c r="K263" i="24"/>
  <c r="K264" i="24"/>
  <c r="J258" i="24"/>
  <c r="J263" i="24"/>
  <c r="J264" i="24"/>
  <c r="F258" i="24"/>
  <c r="I263" i="24"/>
  <c r="I264" i="24"/>
  <c r="D25" i="22"/>
  <c r="I54" i="15"/>
  <c r="E92" i="19"/>
  <c r="I293" i="24"/>
  <c r="K52" i="15"/>
  <c r="J52" i="15"/>
  <c r="J51" i="15"/>
  <c r="K51" i="15"/>
  <c r="K28" i="15"/>
  <c r="J28" i="15"/>
  <c r="J32" i="15"/>
  <c r="J38" i="15"/>
  <c r="K38" i="15"/>
  <c r="D62" i="22"/>
  <c r="D80" i="22"/>
  <c r="J293" i="24"/>
  <c r="J298" i="24"/>
  <c r="J299" i="24"/>
  <c r="K293" i="24"/>
  <c r="K298" i="24"/>
  <c r="K299" i="24"/>
  <c r="F293" i="24"/>
  <c r="I298" i="24"/>
  <c r="I299" i="24"/>
  <c r="D26" i="22"/>
  <c r="J54" i="15"/>
  <c r="K54" i="15"/>
  <c r="J44" i="15"/>
  <c r="K32" i="15"/>
  <c r="K44" i="15"/>
  <c r="I55" i="15"/>
  <c r="E93" i="19"/>
  <c r="I328" i="24"/>
  <c r="D63" i="22"/>
  <c r="D81" i="22"/>
  <c r="K328" i="24"/>
  <c r="K333" i="24"/>
  <c r="K334" i="24"/>
  <c r="J328" i="24"/>
  <c r="J333" i="24"/>
  <c r="J334" i="24"/>
  <c r="F328" i="24"/>
  <c r="I333" i="24"/>
  <c r="I334" i="24"/>
  <c r="D27" i="22"/>
  <c r="K55" i="15"/>
  <c r="E94" i="19"/>
  <c r="I363" i="24"/>
  <c r="J55" i="15"/>
  <c r="D64" i="22"/>
  <c r="D82" i="22"/>
  <c r="J363" i="24"/>
  <c r="J368" i="24"/>
  <c r="J369" i="24"/>
  <c r="K363" i="24"/>
  <c r="K368" i="24"/>
  <c r="K369" i="24"/>
  <c r="F363" i="24"/>
  <c r="I368" i="24"/>
  <c r="I369" i="24"/>
  <c r="D28" i="22"/>
  <c r="E95" i="19"/>
  <c r="I398" i="24"/>
  <c r="D65" i="22"/>
  <c r="D83" i="22"/>
  <c r="K398" i="24"/>
  <c r="K403" i="24"/>
  <c r="K404" i="24"/>
  <c r="J398" i="24"/>
  <c r="J403" i="24"/>
  <c r="J404" i="24"/>
  <c r="F398" i="24"/>
  <c r="I403" i="24"/>
  <c r="I404" i="24"/>
  <c r="D29" i="22"/>
  <c r="E96" i="19"/>
  <c r="E97" i="19"/>
  <c r="D66" i="22"/>
  <c r="D84" i="22"/>
  <c r="E99" i="19"/>
  <c r="E98" i="19"/>
  <c r="K83" i="24"/>
  <c r="K88" i="24"/>
  <c r="K89" i="24"/>
  <c r="J83" i="24"/>
  <c r="J88" i="24"/>
  <c r="J89" i="24"/>
  <c r="F83" i="24"/>
  <c r="I88" i="24"/>
  <c r="I89" i="24"/>
  <c r="D20" i="22"/>
  <c r="D30" i="22"/>
  <c r="D31" i="22"/>
  <c r="D57" i="22"/>
  <c r="D67" i="22"/>
  <c r="D68" i="22"/>
  <c r="D75" i="22"/>
  <c r="D85" i="22"/>
  <c r="D86" i="22"/>
</calcChain>
</file>

<file path=xl/sharedStrings.xml><?xml version="1.0" encoding="utf-8"?>
<sst xmlns="http://schemas.openxmlformats.org/spreadsheetml/2006/main" count="2656" uniqueCount="335">
  <si>
    <t>Total Income</t>
  </si>
  <si>
    <t>Ewe Hoggets</t>
  </si>
  <si>
    <t>Rams</t>
  </si>
  <si>
    <t>Animal Health</t>
  </si>
  <si>
    <t>Wool Sales</t>
  </si>
  <si>
    <t>$/ha</t>
  </si>
  <si>
    <t>Year 5</t>
  </si>
  <si>
    <t>Incidence</t>
  </si>
  <si>
    <t>Year 1</t>
  </si>
  <si>
    <t>Year 2</t>
  </si>
  <si>
    <t>Year 3</t>
  </si>
  <si>
    <t>Year 4</t>
  </si>
  <si>
    <t>Year 6</t>
  </si>
  <si>
    <t>Year 7</t>
  </si>
  <si>
    <t>Year 8</t>
  </si>
  <si>
    <t>Year 9</t>
  </si>
  <si>
    <t>Year 10</t>
  </si>
  <si>
    <t>Lambing %</t>
  </si>
  <si>
    <t>Income</t>
  </si>
  <si>
    <t>Cull Ewes</t>
  </si>
  <si>
    <t>Lambs/Stores</t>
  </si>
  <si>
    <t>Ram Sales</t>
  </si>
  <si>
    <t>Livestock Sales - net of selling costs</t>
  </si>
  <si>
    <t>Variable Costs</t>
  </si>
  <si>
    <t>Shearing/Crutching</t>
  </si>
  <si>
    <t>Wool Packs</t>
  </si>
  <si>
    <t>Wool Freight</t>
  </si>
  <si>
    <t>Livestock Freight</t>
  </si>
  <si>
    <t>Livestock Purchases</t>
  </si>
  <si>
    <t>Inspection &amp; paring</t>
  </si>
  <si>
    <t xml:space="preserve">Culling inspection </t>
  </si>
  <si>
    <t xml:space="preserve">Labour </t>
  </si>
  <si>
    <t>Zinc</t>
  </si>
  <si>
    <t>Laural sulphate</t>
  </si>
  <si>
    <t>Vet fees</t>
  </si>
  <si>
    <t>Labour (special muster)</t>
  </si>
  <si>
    <t>Inspection &amp; trimming</t>
  </si>
  <si>
    <t>Sampling and laboratory fees</t>
  </si>
  <si>
    <t>Labour</t>
  </si>
  <si>
    <t>This is the base case against which footrot impacts and cost of control is measured.</t>
  </si>
  <si>
    <t>Green shaded cells can be changed</t>
  </si>
  <si>
    <t>Total Variable Costs - before feed costs</t>
  </si>
  <si>
    <t>hectares</t>
  </si>
  <si>
    <t>head</t>
  </si>
  <si>
    <t>Lambing rate</t>
  </si>
  <si>
    <t>Ewe mortality</t>
  </si>
  <si>
    <t>Total</t>
  </si>
  <si>
    <t>/kg net</t>
  </si>
  <si>
    <t>($)</t>
  </si>
  <si>
    <t>($/hd)</t>
  </si>
  <si>
    <t>($/ha)</t>
  </si>
  <si>
    <t>of ewe number</t>
  </si>
  <si>
    <t>Ram purchases/sales</t>
  </si>
  <si>
    <t>head per annum</t>
  </si>
  <si>
    <t>to weaning</t>
  </si>
  <si>
    <t>/hd net</t>
  </si>
  <si>
    <t>ewes @</t>
  </si>
  <si>
    <t>hd @</t>
  </si>
  <si>
    <t xml:space="preserve">/hd </t>
  </si>
  <si>
    <t>bales @</t>
  </si>
  <si>
    <t>/bale</t>
  </si>
  <si>
    <t>/hd average</t>
  </si>
  <si>
    <r>
      <rPr>
        <b/>
        <sz val="12"/>
        <rFont val="Calibri"/>
        <family val="2"/>
        <scheme val="minor"/>
      </rPr>
      <t>Gross Margin</t>
    </r>
    <r>
      <rPr>
        <sz val="12"/>
        <rFont val="Calibri"/>
        <family val="2"/>
        <scheme val="minor"/>
      </rPr>
      <t xml:space="preserve"> - before feed costs</t>
    </r>
  </si>
  <si>
    <t>Grazing area</t>
  </si>
  <si>
    <t>Ewe replacements</t>
  </si>
  <si>
    <t>Cull ewes</t>
  </si>
  <si>
    <t>Weaner/store value</t>
  </si>
  <si>
    <t>$</t>
  </si>
  <si>
    <t>Calculate the cost of labour and materials associated with various treatment options.</t>
  </si>
  <si>
    <t>$/ head</t>
  </si>
  <si>
    <t>Treatment</t>
  </si>
  <si>
    <t>Single dose</t>
  </si>
  <si>
    <t>No Footrot</t>
  </si>
  <si>
    <t xml:space="preserve">bags/1000 hd </t>
  </si>
  <si>
    <t>Scraping &amp; laboratory test</t>
  </si>
  <si>
    <t>Scraping &amp; laboratory fixed cost</t>
  </si>
  <si>
    <t>Footrot present</t>
  </si>
  <si>
    <t>Wool weights*</t>
  </si>
  <si>
    <t>per ewe</t>
  </si>
  <si>
    <t>Footrot incidence</t>
  </si>
  <si>
    <t>$/year</t>
  </si>
  <si>
    <t>Treatment options</t>
  </si>
  <si>
    <t>Total cost over 10 years</t>
  </si>
  <si>
    <t>$/head</t>
  </si>
  <si>
    <t>Average cost per hd per year</t>
  </si>
  <si>
    <t>Average cost per ha per year</t>
  </si>
  <si>
    <t>Average total cost per year</t>
  </si>
  <si>
    <t>per ha</t>
  </si>
  <si>
    <t xml:space="preserve">Overall </t>
  </si>
  <si>
    <t>Ewe number</t>
  </si>
  <si>
    <t>Area</t>
  </si>
  <si>
    <t>Base Gross Margin - No Footrot</t>
  </si>
  <si>
    <t>ha</t>
  </si>
  <si>
    <t>hd</t>
  </si>
  <si>
    <t>less lambs reared</t>
  </si>
  <si>
    <t>more replacements required</t>
  </si>
  <si>
    <t>less wool sold</t>
  </si>
  <si>
    <t>Footrot treatment</t>
  </si>
  <si>
    <t>Ewe deaths</t>
  </si>
  <si>
    <t>Ewe replacements reared</t>
  </si>
  <si>
    <t>Average</t>
  </si>
  <si>
    <t>If there was no footrot on your farm what would the sheep gross margin be?</t>
  </si>
  <si>
    <t>To use the tool, you can change any of the green shaded cells, all other cells are protected.</t>
  </si>
  <si>
    <t>Purpose of this Tool</t>
  </si>
  <si>
    <t>This might be what the performance was before infection, or how you would expect it</t>
  </si>
  <si>
    <t>to be with the disease fully eradicated.</t>
  </si>
  <si>
    <t>- commonly 5-10% lower lambing</t>
  </si>
  <si>
    <t xml:space="preserve"> - commonly an extra 5% mortality</t>
  </si>
  <si>
    <t>- commonly 10-15% lower body weight</t>
  </si>
  <si>
    <t xml:space="preserve">- commonly 8-10% lower wool production </t>
  </si>
  <si>
    <t>- fibre diameter 0.43-0.50 micron lower.</t>
  </si>
  <si>
    <t xml:space="preserve">The overall impact is a combination of the per head impacts on infected sheep  and </t>
  </si>
  <si>
    <t>1. Basic Control</t>
  </si>
  <si>
    <t>limited to chronically affected sheep. The disease is curtailed but not eradicated.</t>
  </si>
  <si>
    <t>2. Conventional Eradication</t>
  </si>
  <si>
    <t>respond to treatment.</t>
  </si>
  <si>
    <t>3. Vaccination Eradication</t>
  </si>
  <si>
    <t xml:space="preserve"> inspection and culling regime to identify and remove all animals that fail to</t>
  </si>
  <si>
    <t xml:space="preserve">program to speed up and improve the overall result. </t>
  </si>
  <si>
    <t>The tool calculates the gross margin under each control/eradication option over 10 years.</t>
  </si>
  <si>
    <t>Note; This strategy is not always successful.</t>
  </si>
  <si>
    <t xml:space="preserve">culling etc is lower, but has a lower ongoing gross margin because of some continuing impact </t>
  </si>
  <si>
    <t>of the disease and ongoing treatment costs.</t>
  </si>
  <si>
    <t>The purpose of this tool is tool is to enable footrot-affected producers to understand the</t>
  </si>
  <si>
    <t>Other cells are protected.</t>
  </si>
  <si>
    <t>hd/ha average</t>
  </si>
  <si>
    <t>Wether mortality</t>
  </si>
  <si>
    <t>Cull wethers</t>
  </si>
  <si>
    <t>Wether replacements</t>
  </si>
  <si>
    <t>Ewes</t>
  </si>
  <si>
    <t>Wethers</t>
  </si>
  <si>
    <t>head at July 1</t>
  </si>
  <si>
    <t>Cull Wethers</t>
  </si>
  <si>
    <t>Wether Hoggets</t>
  </si>
  <si>
    <t>Wether replacements reared</t>
  </si>
  <si>
    <t>Lambs</t>
  </si>
  <si>
    <t>Adult sheep + weaners</t>
  </si>
  <si>
    <t xml:space="preserve">hd </t>
  </si>
  <si>
    <t>Hoggets</t>
  </si>
  <si>
    <t>Livestock Sales</t>
  </si>
  <si>
    <t>NB</t>
  </si>
  <si>
    <t>= mortality + culls</t>
  </si>
  <si>
    <t>* Per ewe including rams, wethers, and replacement lambs shorn</t>
  </si>
  <si>
    <t>Cull ewe value</t>
  </si>
  <si>
    <t>Cull wether value</t>
  </si>
  <si>
    <t>Cull ram value</t>
  </si>
  <si>
    <t>Wool price</t>
  </si>
  <si>
    <t>Change</t>
  </si>
  <si>
    <t>lower average stock prices</t>
  </si>
  <si>
    <t xml:space="preserve">    Green shaded cells can be changed</t>
  </si>
  <si>
    <t>/kg ave</t>
  </si>
  <si>
    <t>(2) Initial proportion of flock affected</t>
  </si>
  <si>
    <t>Three options assessed</t>
  </si>
  <si>
    <t>A combination of treatments to minimise lameness, but with culling</t>
  </si>
  <si>
    <t>A combination of treatments to initially reduce incidence, followed by an</t>
  </si>
  <si>
    <t xml:space="preserve">Administration of a specific vaccine along with the conventional eradication </t>
  </si>
  <si>
    <t xml:space="preserve">  Other cells are protected.</t>
  </si>
  <si>
    <t>(3) Overall flock impact - Year 1</t>
  </si>
  <si>
    <t>(Before control/eradication measures put in place)</t>
  </si>
  <si>
    <t>How to use this Tool</t>
  </si>
  <si>
    <t>Step 2 - Assess the impact of footrot - before control/eradication measures</t>
  </si>
  <si>
    <t>Step 3 - Assess control/eradication costs and effectiveness.</t>
  </si>
  <si>
    <t xml:space="preserve"> the proportion of the flock infected.</t>
  </si>
  <si>
    <t>for infected sheep</t>
  </si>
  <si>
    <t>The overall flock impact is a combination of per head impacts on infected sheep and</t>
  </si>
  <si>
    <t xml:space="preserve"> each year</t>
  </si>
  <si>
    <t>(1) Impact on infected sheep</t>
  </si>
  <si>
    <t>flock</t>
  </si>
  <si>
    <t>average</t>
  </si>
  <si>
    <t xml:space="preserve">The actual cost of labour here might vary  between businesses. </t>
  </si>
  <si>
    <t>hd/person/day</t>
  </si>
  <si>
    <t>Materials</t>
  </si>
  <si>
    <t>/hr</t>
  </si>
  <si>
    <t>/bag</t>
  </si>
  <si>
    <t>/drum</t>
  </si>
  <si>
    <t>drums/1000 hd</t>
  </si>
  <si>
    <t>/dose</t>
  </si>
  <si>
    <t>fixed cost</t>
  </si>
  <si>
    <t>hd*</t>
  </si>
  <si>
    <t>(1) Cost of treatment per head</t>
  </si>
  <si>
    <t>Conventional eradication</t>
  </si>
  <si>
    <t>Vaccine eradication</t>
  </si>
  <si>
    <t>(no.)</t>
  </si>
  <si>
    <t xml:space="preserve">Treatment frequency </t>
  </si>
  <si>
    <r>
      <t xml:space="preserve">Vaccination </t>
    </r>
    <r>
      <rPr>
        <u/>
        <sz val="12"/>
        <rFont val="Calibri"/>
        <family val="2"/>
        <scheme val="minor"/>
      </rPr>
      <t>(per dose</t>
    </r>
    <r>
      <rPr>
        <sz val="12"/>
        <rFont val="Calibri"/>
        <family val="2"/>
        <scheme val="minor"/>
      </rPr>
      <t>)</t>
    </r>
  </si>
  <si>
    <r>
      <t xml:space="preserve">Footbathing - </t>
    </r>
    <r>
      <rPr>
        <sz val="10"/>
        <rFont val="Calibri"/>
        <family val="2"/>
        <scheme val="minor"/>
      </rPr>
      <t>sheep already mustered</t>
    </r>
  </si>
  <si>
    <r>
      <t xml:space="preserve">Footbathing </t>
    </r>
    <r>
      <rPr>
        <sz val="10"/>
        <rFont val="Calibri"/>
        <family val="2"/>
        <scheme val="minor"/>
      </rPr>
      <t>- special muster</t>
    </r>
  </si>
  <si>
    <r>
      <t xml:space="preserve">Treatment cost per head </t>
    </r>
    <r>
      <rPr>
        <sz val="10"/>
        <rFont val="Calibri"/>
        <family val="2"/>
        <scheme val="minor"/>
      </rPr>
      <t>- labour and materials</t>
    </r>
  </si>
  <si>
    <r>
      <t xml:space="preserve">Vaccination </t>
    </r>
    <r>
      <rPr>
        <sz val="10"/>
        <rFont val="Calibri"/>
        <family val="2"/>
        <scheme val="minor"/>
      </rPr>
      <t>- special muster required</t>
    </r>
  </si>
  <si>
    <r>
      <t xml:space="preserve">Vaccination </t>
    </r>
    <r>
      <rPr>
        <sz val="10"/>
        <rFont val="Calibri"/>
        <family val="2"/>
        <scheme val="minor"/>
      </rPr>
      <t>- sheep already mustered</t>
    </r>
  </si>
  <si>
    <r>
      <t xml:space="preserve">Year eradicated </t>
    </r>
    <r>
      <rPr>
        <sz val="10"/>
        <rFont val="Calibri"/>
        <family val="2"/>
        <scheme val="minor"/>
      </rPr>
      <t>- no further treatment required</t>
    </r>
  </si>
  <si>
    <t>year 1</t>
  </si>
  <si>
    <t>year 2</t>
  </si>
  <si>
    <t>year 3</t>
  </si>
  <si>
    <t>Vaccine eradication*</t>
  </si>
  <si>
    <t xml:space="preserve">Total treatment cost </t>
  </si>
  <si>
    <r>
      <t xml:space="preserve">Total cost </t>
    </r>
    <r>
      <rPr>
        <sz val="10"/>
        <rFont val="Calibri"/>
        <family val="2"/>
        <scheme val="minor"/>
      </rPr>
      <t>- labour and materials</t>
    </r>
  </si>
  <si>
    <t>It allows for both treatment costs and impact on productivity</t>
  </si>
  <si>
    <t>This section shows the overall gross margin (before feed costs) over 10 years.</t>
  </si>
  <si>
    <t>Total sheep</t>
  </si>
  <si>
    <t xml:space="preserve"> hd including ewes, wethers, rams &amp; replacements</t>
  </si>
  <si>
    <t xml:space="preserve"> hd</t>
  </si>
  <si>
    <t>Wether hoggets reared</t>
  </si>
  <si>
    <t>Adult Sheep + Weaners</t>
  </si>
  <si>
    <t>/hd</t>
  </si>
  <si>
    <t xml:space="preserve">hd/ha </t>
  </si>
  <si>
    <t>(1) Main assumptions</t>
  </si>
  <si>
    <t>(2) Gross Margin before feed costs</t>
  </si>
  <si>
    <t>(2) Overall cost of treatment options</t>
  </si>
  <si>
    <t>(3) Effectiveness of treatment options</t>
  </si>
  <si>
    <t>Wether deaths</t>
  </si>
  <si>
    <t>Overall Impacts - Flock Average</t>
  </si>
  <si>
    <t>ewes</t>
  </si>
  <si>
    <t>Wool price - average</t>
  </si>
  <si>
    <t>including ewe, wether, ram &amp; replacement wool</t>
  </si>
  <si>
    <t>Wether Sales</t>
  </si>
  <si>
    <t>Births - to weaning</t>
  </si>
  <si>
    <t>Wether culls</t>
  </si>
  <si>
    <t>Effect</t>
  </si>
  <si>
    <t>assume same as ewes</t>
  </si>
  <si>
    <t>Wool weight per ewe</t>
  </si>
  <si>
    <t>Basic Control - Year 1</t>
  </si>
  <si>
    <t>Ewe culls</t>
  </si>
  <si>
    <t xml:space="preserve">* Includes wethers, rams, lambs &amp; hoggets </t>
  </si>
  <si>
    <t>Adult sheep/weaners</t>
  </si>
  <si>
    <t>Compared to no footrot</t>
  </si>
  <si>
    <t>Basic Control - Year 2</t>
  </si>
  <si>
    <t>Weaner/ store value</t>
  </si>
  <si>
    <t>Basic Control - Year 3</t>
  </si>
  <si>
    <t>Basic Control - Year 4</t>
  </si>
  <si>
    <t>Basic Control - Year 5</t>
  </si>
  <si>
    <t>Basic Control - Year 6</t>
  </si>
  <si>
    <t>Basic Control - Year 7</t>
  </si>
  <si>
    <t>Basic Control - Year 8</t>
  </si>
  <si>
    <t>Basic Control - Year 9</t>
  </si>
  <si>
    <t>Basic Control - Year 10</t>
  </si>
  <si>
    <r>
      <t xml:space="preserve">(1) What is the impact of footrot on </t>
    </r>
    <r>
      <rPr>
        <u/>
        <sz val="12"/>
        <rFont val="Calibri"/>
        <family val="2"/>
        <scheme val="minor"/>
      </rPr>
      <t xml:space="preserve">infected </t>
    </r>
    <r>
      <rPr>
        <sz val="12"/>
        <rFont val="Calibri"/>
        <family val="2"/>
        <scheme val="minor"/>
      </rPr>
      <t>sheep?</t>
    </r>
  </si>
  <si>
    <t>Enter estimated proportion of flock affected over time - following treatment &amp; culling (below)</t>
  </si>
  <si>
    <t>(4) Extra culling associated with control and eradication options</t>
  </si>
  <si>
    <t>Extra culling</t>
  </si>
  <si>
    <t>Proportion of infected sheep culled</t>
  </si>
  <si>
    <t>Proportion of flock culled</t>
  </si>
  <si>
    <t>Extra sheep (ewes &amp; wethers) culled as a proportion of those infected.</t>
  </si>
  <si>
    <t>Extra sheep (ewes &amp; wethers) culled as a proportion of total flock.</t>
  </si>
  <si>
    <r>
      <t xml:space="preserve">Enter the </t>
    </r>
    <r>
      <rPr>
        <u/>
        <sz val="12"/>
        <rFont val="Calibri"/>
        <family val="2"/>
        <scheme val="minor"/>
      </rPr>
      <t>extra</t>
    </r>
    <r>
      <rPr>
        <sz val="12"/>
        <rFont val="Calibri"/>
        <family val="2"/>
        <scheme val="minor"/>
      </rPr>
      <t xml:space="preserve"> cost per hour of labour required for the job or the </t>
    </r>
    <r>
      <rPr>
        <u/>
        <sz val="12"/>
        <rFont val="Calibri"/>
        <family val="2"/>
        <scheme val="minor"/>
      </rPr>
      <t>opportunity</t>
    </r>
    <r>
      <rPr>
        <sz val="12"/>
        <rFont val="Calibri"/>
        <family val="2"/>
        <scheme val="minor"/>
      </rPr>
      <t xml:space="preserve"> cost of current labour.</t>
    </r>
  </si>
  <si>
    <t>Inspection &amp; Trimming</t>
  </si>
  <si>
    <t>Inspection &amp; Paring</t>
  </si>
  <si>
    <t>Footbathing  - sheep already mustered</t>
  </si>
  <si>
    <t>Footbathing  - special muster</t>
  </si>
  <si>
    <t>Culling inspections</t>
  </si>
  <si>
    <t>Vaccination</t>
  </si>
  <si>
    <t>* Note; With more than 2 serogroups a second course of two vaccinations will be required - possibly 50% of flocks.</t>
  </si>
  <si>
    <r>
      <t xml:space="preserve">WORKSHEETS FOR </t>
    </r>
    <r>
      <rPr>
        <b/>
        <u/>
        <sz val="16"/>
        <rFont val="Calibri"/>
        <family val="2"/>
        <scheme val="minor"/>
      </rPr>
      <t>CONVENTIONAL ERADICATION</t>
    </r>
    <r>
      <rPr>
        <b/>
        <sz val="16"/>
        <rFont val="Calibri"/>
        <family val="2"/>
        <scheme val="minor"/>
      </rPr>
      <t xml:space="preserve"> OPTION</t>
    </r>
  </si>
  <si>
    <t>Conventional Eradication - Year 1</t>
  </si>
  <si>
    <t>Conventional Eradication - Year 10</t>
  </si>
  <si>
    <t>Conventional Eradication - Year 2</t>
  </si>
  <si>
    <t>Conventional Eradication - Year 3</t>
  </si>
  <si>
    <t>Conventional Eradication - Year 4</t>
  </si>
  <si>
    <t>Conventional Eradication - Year 5</t>
  </si>
  <si>
    <t>Conventional Eradication - Year 6</t>
  </si>
  <si>
    <t>Conventional Eradication - Year 7</t>
  </si>
  <si>
    <t>Conventional Eradication - Year 8</t>
  </si>
  <si>
    <t>Conventional Eradication - Year 9</t>
  </si>
  <si>
    <r>
      <t xml:space="preserve">WORKSHEETS FOR </t>
    </r>
    <r>
      <rPr>
        <b/>
        <u/>
        <sz val="16"/>
        <rFont val="Calibri"/>
        <family val="2"/>
        <scheme val="minor"/>
      </rPr>
      <t>VACCINE ERADICATION</t>
    </r>
    <r>
      <rPr>
        <b/>
        <sz val="16"/>
        <rFont val="Calibri"/>
        <family val="2"/>
        <scheme val="minor"/>
      </rPr>
      <t xml:space="preserve"> OPTION</t>
    </r>
  </si>
  <si>
    <t>Vaccine Eradication - Year 1</t>
  </si>
  <si>
    <t>Vaccine Eradication - Year 2</t>
  </si>
  <si>
    <t>Vaccine Eradication - Year 3</t>
  </si>
  <si>
    <t>Vaccine Eradication - Year 4</t>
  </si>
  <si>
    <t>Vaccine Eradication - Year 5</t>
  </si>
  <si>
    <t>Vaccine Eradication - Year 6</t>
  </si>
  <si>
    <t>Vaccine Eradication - Year 7</t>
  </si>
  <si>
    <t>Vaccine Eradication - Year 8</t>
  </si>
  <si>
    <t>Vaccine Eradication - Year 9</t>
  </si>
  <si>
    <t>Vaccine Eradication - Year 10</t>
  </si>
  <si>
    <t>$'000</t>
  </si>
  <si>
    <t>Total sheep gross margin</t>
  </si>
  <si>
    <t>Sheep area</t>
  </si>
  <si>
    <t>Sheep numbers</t>
  </si>
  <si>
    <t>Replacements</t>
  </si>
  <si>
    <t xml:space="preserve"> ha</t>
  </si>
  <si>
    <t>Gross margin per ewe</t>
  </si>
  <si>
    <t>$/ewe</t>
  </si>
  <si>
    <t>Step 4 - Summary</t>
  </si>
  <si>
    <t>The analysis assumes that total stock numbers are maintained throughout.</t>
  </si>
  <si>
    <t>Gross margin per hectare</t>
  </si>
  <si>
    <r>
      <t>the proportion of the flock affected</t>
    </r>
    <r>
      <rPr>
        <sz val="12"/>
        <color rgb="FFFF0000"/>
        <rFont val="Calibri"/>
        <family val="2"/>
        <scheme val="minor"/>
      </rPr>
      <t>:</t>
    </r>
  </si>
  <si>
    <t>Three options:</t>
  </si>
  <si>
    <t>Footrot-free</t>
  </si>
  <si>
    <t>Step 1 - Describe what your footrot-free enterprise would look like.</t>
  </si>
  <si>
    <r>
      <t xml:space="preserve">(2) What is the </t>
    </r>
    <r>
      <rPr>
        <u/>
        <sz val="12"/>
        <rFont val="Calibri"/>
        <family val="2"/>
        <scheme val="minor"/>
      </rPr>
      <t>proportion (% animals)</t>
    </r>
    <r>
      <rPr>
        <sz val="12"/>
        <rFont val="Calibri"/>
        <family val="2"/>
        <scheme val="minor"/>
      </rPr>
      <t xml:space="preserve"> of the flock infected?</t>
    </r>
  </si>
  <si>
    <t>1. Containment</t>
  </si>
  <si>
    <t>The containment option has a better gross margin earlier on, because treatment costs and</t>
  </si>
  <si>
    <t>Step 4 - Review overall costs</t>
  </si>
  <si>
    <t>Initial assumptions have been included as a starting point.</t>
  </si>
  <si>
    <t xml:space="preserve">financial cost of the disease on their farm and to evaluate the cost effectiveness of different </t>
  </si>
  <si>
    <t>Important Information and Disclaimer</t>
  </si>
  <si>
    <t xml:space="preserve">By using this workbook you accept all the terms of this disclaimer. </t>
  </si>
  <si>
    <t>The agricultural sector is subject to significant variations in costs, returns and yields over time and as such budget projections will need to be reviewed to reflect the prevailing circumstances.</t>
  </si>
  <si>
    <t xml:space="preserve">•  </t>
  </si>
  <si>
    <t>any combination of any of the above.</t>
  </si>
  <si>
    <t>Copyright</t>
  </si>
  <si>
    <t xml:space="preserve">The workbook has been prepared to assist in making farm management and investment decisions in relation to footrot control. As such, it will need to be adapted for individual farm circumstances. Users are encouraged to vary the initial enterprise and footrot impact assumptions, along with treatment costs and likely success. </t>
  </si>
  <si>
    <t>AWI which commissioned the development of this spreadsheet tool, and the consultants Macquarie Franklin who undertook the development work, expressly disclaim all and any legal liability and responsibility whatsoever arising from or connected with:</t>
  </si>
  <si>
    <t>the accuracy, reliability, validity, currency or completeness of the base assumptions supplied.</t>
  </si>
  <si>
    <t xml:space="preserve">AWI  </t>
  </si>
  <si>
    <t>the accuracy, reliability, validity, currency or completeness of any results obtained from the use of the tool.</t>
  </si>
  <si>
    <t>the consequences of anything done or omitted to be done by any person, either in whole or in part, in reliance of any such information, model spreadsheet or results;</t>
  </si>
  <si>
    <t>Step 1 - Describe what  your footrot-free enterprise would look like.</t>
  </si>
  <si>
    <t>Containment</t>
  </si>
  <si>
    <t>Enter how many treatments are required for the 3 treatment options - ie adjust the base assumptions if required.</t>
  </si>
  <si>
    <t>for the year or years in which treatment occurs</t>
  </si>
  <si>
    <t>Number of sheep treated per year</t>
  </si>
  <si>
    <t>Note: unlikely to be less than this</t>
  </si>
  <si>
    <t>Year 1  - from Step 2 worksheet</t>
  </si>
  <si>
    <t>Gross margin before feed costs</t>
  </si>
  <si>
    <t>(from Step 1 worksheet)</t>
  </si>
  <si>
    <r>
      <t xml:space="preserve">Impact </t>
    </r>
    <r>
      <rPr>
        <sz val="9"/>
        <rFont val="Calibri"/>
        <family val="2"/>
        <scheme val="minor"/>
      </rPr>
      <t>on infected sheep</t>
    </r>
  </si>
  <si>
    <t>Net result</t>
  </si>
  <si>
    <t xml:space="preserve">The overall flock impact is a combination of  individual impacts ((1) above) and the proportion </t>
  </si>
  <si>
    <t>the flock affected ((2) above).</t>
  </si>
  <si>
    <t>them.</t>
  </si>
  <si>
    <t xml:space="preserve">Also, that additional deaths and culls are replaced by retaining more lamb rather than selling </t>
  </si>
  <si>
    <t>strategies to control or eradicate the disease.</t>
  </si>
  <si>
    <t>* All ewes, wethers, rams and replacements from Step 1 worksheet.</t>
  </si>
  <si>
    <r>
      <t xml:space="preserve">WORKSHEETS FOR </t>
    </r>
    <r>
      <rPr>
        <b/>
        <u/>
        <sz val="16"/>
        <rFont val="Calibri"/>
        <family val="2"/>
        <scheme val="minor"/>
      </rPr>
      <t>CONTAINMENT</t>
    </r>
    <r>
      <rPr>
        <b/>
        <sz val="16"/>
        <rFont val="Calibri"/>
        <family val="2"/>
        <scheme val="minor"/>
      </rPr>
      <t xml:space="preserve"> OPTION</t>
    </r>
  </si>
  <si>
    <t>Research has estimated average impacts as:</t>
  </si>
  <si>
    <t>higher price for finer wool</t>
  </si>
  <si>
    <t>How much does each option cost, how is disease reduced, and how quickly?</t>
  </si>
  <si>
    <t>If contract or casual labour is required use the actual extra cost including add-ons..</t>
  </si>
  <si>
    <t>If your own or permanent labour is used it doesn't actually cost any more, but there is an opportunity cost which is what that labour would earn doing</t>
  </si>
  <si>
    <t>something else (eg hired out to a neighbour), or the cost to the business of not undertaking some other task. This can be higher or lower than casual or</t>
  </si>
  <si>
    <t>contract labour depending on the situation.</t>
  </si>
  <si>
    <t>Your vet might help in deciding on an appropriate impact.</t>
  </si>
  <si>
    <t>Your vet might assist in entering the details of the alternative treatment regimes.</t>
  </si>
  <si>
    <t xml:space="preserve"> April 28,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</si>
</sst>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8" formatCode="&quot;$&quot;#,##0.00;[Red]\-&quot;$&quot;#,##0.00"/>
    <numFmt numFmtId="164" formatCode="0.0"/>
    <numFmt numFmtId="165" formatCode="0.0%"/>
    <numFmt numFmtId="166" formatCode="&quot;$&quot;#,##0.00&quot;/hd&quot;;[Red]\-&quot;$&quot;#,##0.00"/>
    <numFmt numFmtId="167" formatCode="0.0&quot; kg&quot;"/>
    <numFmt numFmtId="168" formatCode="&quot;$&quot;#,##0"/>
    <numFmt numFmtId="169" formatCode="&quot;Year &quot;0"/>
    <numFmt numFmtId="170" formatCode="0&quot; FTEs&quot;"/>
    <numFmt numFmtId="171" formatCode="&quot;$&quot;#,##0&quot;/day&quot;;\-&quot;$&quot;#,##0"/>
    <numFmt numFmtId="172" formatCode="0.0&quot; days&quot;"/>
    <numFmt numFmtId="173" formatCode="_-&quot;$&quot;* #,##0_-;\-&quot;$&quot;* #,##0_-;_-&quot;$&quot;* &quot;-&quot;??_-;_-@_-"/>
    <numFmt numFmtId="174" formatCode="#,##0.0"/>
    <numFmt numFmtId="175" formatCode="#,##0_ ;[Red]\-#,##0\ "/>
    <numFmt numFmtId="176" formatCode="#,##0&quot; hd/day&quot;"/>
    <numFmt numFmtId="177" formatCode="#,##0.00_ ;[Red]\-#,##0.00\ "/>
    <numFmt numFmtId="178" formatCode="0.0&quot; kg &quot;"/>
    <numFmt numFmtId="179" formatCode="&quot;$&quot;#,##0.00"/>
    <numFmt numFmtId="180" formatCode="0.00&quot; kg&quot;"/>
    <numFmt numFmtId="181" formatCode="&quot;$&quot;#,##0&quot;k pa&quot;;[Red]\-&quot;$&quot;#,##0&quot;k pa&quot;"/>
  </numFmts>
  <fonts count="27" x14ac:knownFonts="1">
    <font>
      <sz val="10"/>
      <name val="Times New Roman"/>
      <family val="1"/>
    </font>
    <font>
      <sz val="11"/>
      <color theme="1"/>
      <name val="Calibri"/>
      <family val="2"/>
      <scheme val="minor"/>
    </font>
    <font>
      <sz val="10"/>
      <name val="Times New Roman"/>
      <family val="1"/>
    </font>
    <font>
      <b/>
      <sz val="14"/>
      <name val="Times New Roman"/>
      <family val="1"/>
    </font>
    <font>
      <b/>
      <sz val="12"/>
      <name val="Times New Roman"/>
      <family val="1"/>
    </font>
    <font>
      <sz val="12"/>
      <name val="Times New Roman"/>
      <family val="1"/>
    </font>
    <font>
      <sz val="11"/>
      <color rgb="FFFF0000"/>
      <name val="Calibri"/>
      <family val="2"/>
      <scheme val="minor"/>
    </font>
    <font>
      <u/>
      <sz val="10"/>
      <color theme="10"/>
      <name val="Times New Roman"/>
      <family val="1"/>
    </font>
    <font>
      <sz val="12"/>
      <name val="Calibri"/>
      <family val="2"/>
      <scheme val="minor"/>
    </font>
    <font>
      <sz val="10"/>
      <name val="Calibri"/>
      <family val="2"/>
      <scheme val="minor"/>
    </font>
    <font>
      <b/>
      <sz val="12"/>
      <name val="Calibri"/>
      <family val="2"/>
      <scheme val="minor"/>
    </font>
    <font>
      <b/>
      <u/>
      <sz val="12"/>
      <color theme="10"/>
      <name val="Calibri"/>
      <family val="2"/>
      <scheme val="minor"/>
    </font>
    <font>
      <u/>
      <sz val="12"/>
      <name val="Calibri"/>
      <family val="2"/>
      <scheme val="minor"/>
    </font>
    <font>
      <b/>
      <sz val="14"/>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16"/>
      <name val="Calibri"/>
      <family val="2"/>
      <scheme val="minor"/>
    </font>
    <font>
      <sz val="14"/>
      <name val="Times New Roman"/>
      <family val="1"/>
    </font>
    <font>
      <sz val="10"/>
      <name val="Calibri"/>
      <family val="2"/>
    </font>
    <font>
      <sz val="16"/>
      <name val="Calibri"/>
      <family val="2"/>
      <scheme val="minor"/>
    </font>
    <font>
      <b/>
      <u/>
      <sz val="16"/>
      <name val="Calibri"/>
      <family val="2"/>
      <scheme val="minor"/>
    </font>
    <font>
      <sz val="12"/>
      <name val="Calibri"/>
      <family val="2"/>
    </font>
    <font>
      <sz val="10"/>
      <color rgb="FFFF0000"/>
      <name val="Calibri"/>
      <family val="2"/>
      <scheme val="minor"/>
    </font>
    <font>
      <u/>
      <sz val="12"/>
      <name val="Calibri"/>
      <family val="2"/>
    </font>
    <font>
      <sz val="12"/>
      <color rgb="FFFF0000"/>
      <name val="Calibri"/>
      <family val="2"/>
      <scheme val="minor"/>
    </font>
    <font>
      <sz val="9"/>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1" fillId="0" borderId="0"/>
  </cellStyleXfs>
  <cellXfs count="407">
    <xf numFmtId="0" fontId="0" fillId="0" borderId="0" xfId="0"/>
    <xf numFmtId="0" fontId="0" fillId="0" borderId="0" xfId="0" applyBorder="1"/>
    <xf numFmtId="0" fontId="3" fillId="0" borderId="0" xfId="0" applyFont="1"/>
    <xf numFmtId="9" fontId="0" fillId="0" borderId="0" xfId="0" applyNumberFormat="1" applyBorder="1"/>
    <xf numFmtId="0" fontId="0" fillId="0" borderId="0" xfId="0" applyFill="1" applyBorder="1"/>
    <xf numFmtId="0" fontId="0" fillId="0" borderId="1" xfId="0" applyBorder="1"/>
    <xf numFmtId="0" fontId="5" fillId="0" borderId="0" xfId="0" applyFont="1" applyBorder="1"/>
    <xf numFmtId="0" fontId="0" fillId="0" borderId="0" xfId="0" applyFill="1"/>
    <xf numFmtId="9" fontId="0" fillId="0" borderId="0" xfId="0" applyNumberFormat="1" applyFill="1" applyBorder="1"/>
    <xf numFmtId="0" fontId="0" fillId="0" borderId="2" xfId="0" applyFill="1" applyBorder="1"/>
    <xf numFmtId="0" fontId="6" fillId="0" borderId="0" xfId="0" applyFont="1" applyFill="1"/>
    <xf numFmtId="0" fontId="0" fillId="0" borderId="1" xfId="0" applyFill="1" applyBorder="1"/>
    <xf numFmtId="0" fontId="5" fillId="0" borderId="0" xfId="0" applyFont="1" applyFill="1"/>
    <xf numFmtId="0" fontId="0" fillId="0" borderId="8" xfId="0" applyBorder="1"/>
    <xf numFmtId="0" fontId="0" fillId="0" borderId="7" xfId="0" applyBorder="1" applyAlignment="1">
      <alignment horizontal="left" indent="1"/>
    </xf>
    <xf numFmtId="0" fontId="0" fillId="0" borderId="11" xfId="0" applyBorder="1" applyAlignment="1">
      <alignment horizontal="left" indent="1"/>
    </xf>
    <xf numFmtId="9" fontId="0" fillId="0" borderId="8" xfId="0" applyNumberFormat="1" applyFill="1" applyBorder="1"/>
    <xf numFmtId="0" fontId="0" fillId="0" borderId="7" xfId="0" applyFill="1" applyBorder="1"/>
    <xf numFmtId="0" fontId="0" fillId="0" borderId="11" xfId="0" applyFill="1" applyBorder="1"/>
    <xf numFmtId="0" fontId="8" fillId="0" borderId="0" xfId="0" applyFont="1"/>
    <xf numFmtId="0" fontId="9" fillId="0" borderId="0" xfId="0" applyFont="1"/>
    <xf numFmtId="0" fontId="10" fillId="0" borderId="0" xfId="0" applyFont="1"/>
    <xf numFmtId="0" fontId="11" fillId="0" borderId="0" xfId="2" applyFont="1"/>
    <xf numFmtId="0" fontId="8" fillId="0" borderId="0" xfId="0" applyFont="1" applyFill="1"/>
    <xf numFmtId="0" fontId="13" fillId="0" borderId="0" xfId="0" applyFont="1" applyFill="1" applyBorder="1"/>
    <xf numFmtId="0" fontId="13" fillId="0" borderId="0" xfId="0" applyFont="1"/>
    <xf numFmtId="0" fontId="8" fillId="0" borderId="9" xfId="0" applyFont="1" applyBorder="1"/>
    <xf numFmtId="0" fontId="8" fillId="0" borderId="7" xfId="0" applyFont="1" applyBorder="1"/>
    <xf numFmtId="0" fontId="8" fillId="0" borderId="3" xfId="0" applyFont="1" applyBorder="1"/>
    <xf numFmtId="0" fontId="8" fillId="0" borderId="0" xfId="0" applyFont="1" applyAlignment="1">
      <alignment horizontal="center"/>
    </xf>
    <xf numFmtId="0" fontId="8" fillId="0" borderId="7" xfId="0" applyFont="1" applyBorder="1" applyAlignment="1">
      <alignment horizontal="left" indent="1"/>
    </xf>
    <xf numFmtId="0" fontId="8" fillId="0" borderId="0" xfId="0" applyFont="1" applyBorder="1"/>
    <xf numFmtId="0" fontId="10" fillId="0" borderId="7" xfId="0" applyFont="1" applyBorder="1"/>
    <xf numFmtId="0" fontId="8" fillId="0" borderId="0" xfId="0" applyFont="1" applyBorder="1" applyAlignment="1">
      <alignment horizontal="left"/>
    </xf>
    <xf numFmtId="0" fontId="8" fillId="0" borderId="0" xfId="0" applyFont="1" applyFill="1" applyBorder="1"/>
    <xf numFmtId="0" fontId="8" fillId="0" borderId="0" xfId="0" applyFont="1" applyBorder="1" applyAlignment="1">
      <alignment horizontal="left" indent="1"/>
    </xf>
    <xf numFmtId="0" fontId="8" fillId="0" borderId="11" xfId="0" applyFont="1" applyBorder="1" applyAlignment="1">
      <alignment horizontal="left" indent="1"/>
    </xf>
    <xf numFmtId="9" fontId="8" fillId="0" borderId="0" xfId="0" applyNumberFormat="1" applyFont="1" applyFill="1" applyBorder="1"/>
    <xf numFmtId="0" fontId="10" fillId="0" borderId="0" xfId="0" applyFont="1" applyBorder="1"/>
    <xf numFmtId="0" fontId="8" fillId="0" borderId="0" xfId="0" quotePrefix="1" applyFont="1"/>
    <xf numFmtId="0" fontId="8" fillId="2" borderId="5" xfId="0" applyFont="1" applyFill="1" applyBorder="1" applyAlignment="1">
      <alignment horizontal="left" indent="1"/>
    </xf>
    <xf numFmtId="0" fontId="8" fillId="2" borderId="2" xfId="0" applyFont="1" applyFill="1" applyBorder="1"/>
    <xf numFmtId="164" fontId="8" fillId="2" borderId="2" xfId="0" applyNumberFormat="1" applyFont="1" applyFill="1" applyBorder="1"/>
    <xf numFmtId="0" fontId="8" fillId="2" borderId="9" xfId="0" applyFont="1" applyFill="1" applyBorder="1"/>
    <xf numFmtId="0" fontId="8" fillId="2" borderId="3" xfId="0" applyFont="1" applyFill="1" applyBorder="1"/>
    <xf numFmtId="0" fontId="8" fillId="2" borderId="5" xfId="0" applyFont="1" applyFill="1" applyBorder="1"/>
    <xf numFmtId="0" fontId="8" fillId="2" borderId="14" xfId="0" applyFont="1" applyFill="1" applyBorder="1" applyAlignment="1">
      <alignment horizontal="center"/>
    </xf>
    <xf numFmtId="0" fontId="8" fillId="2" borderId="11" xfId="0" applyFont="1" applyFill="1" applyBorder="1"/>
    <xf numFmtId="0" fontId="8" fillId="2" borderId="1" xfId="0" applyFont="1" applyFill="1" applyBorder="1"/>
    <xf numFmtId="0" fontId="8" fillId="2" borderId="7" xfId="0" applyFont="1" applyFill="1" applyBorder="1"/>
    <xf numFmtId="0" fontId="8" fillId="2" borderId="0" xfId="0" applyFont="1" applyFill="1" applyBorder="1"/>
    <xf numFmtId="0" fontId="9" fillId="0" borderId="0" xfId="0" applyFont="1" applyFill="1"/>
    <xf numFmtId="0" fontId="9" fillId="0" borderId="0" xfId="0" applyFont="1" applyFill="1" applyBorder="1"/>
    <xf numFmtId="0" fontId="8" fillId="0" borderId="1" xfId="0" applyFont="1" applyFill="1" applyBorder="1"/>
    <xf numFmtId="0" fontId="8" fillId="0" borderId="7" xfId="0" applyFont="1" applyFill="1" applyBorder="1"/>
    <xf numFmtId="0" fontId="8" fillId="0" borderId="11" xfId="0" applyFont="1" applyFill="1" applyBorder="1"/>
    <xf numFmtId="0" fontId="10" fillId="2" borderId="5" xfId="0" applyFont="1" applyFill="1" applyBorder="1"/>
    <xf numFmtId="0" fontId="15" fillId="0" borderId="7" xfId="0" applyFont="1" applyFill="1" applyBorder="1"/>
    <xf numFmtId="0" fontId="8" fillId="0" borderId="8" xfId="0" applyFont="1" applyFill="1" applyBorder="1"/>
    <xf numFmtId="0" fontId="16" fillId="0" borderId="7" xfId="0" applyFont="1" applyFill="1" applyBorder="1"/>
    <xf numFmtId="173" fontId="8" fillId="0" borderId="0" xfId="0" applyNumberFormat="1" applyFont="1" applyFill="1" applyBorder="1"/>
    <xf numFmtId="170" fontId="8" fillId="0" borderId="1" xfId="0" applyNumberFormat="1" applyFont="1" applyFill="1" applyBorder="1"/>
    <xf numFmtId="171" fontId="8" fillId="0" borderId="1" xfId="0" applyNumberFormat="1" applyFont="1" applyFill="1" applyBorder="1"/>
    <xf numFmtId="0" fontId="10" fillId="0" borderId="3" xfId="0" applyFont="1" applyFill="1" applyBorder="1"/>
    <xf numFmtId="0" fontId="10" fillId="0" borderId="8" xfId="0" applyFont="1" applyFill="1" applyBorder="1"/>
    <xf numFmtId="0" fontId="10" fillId="0" borderId="12" xfId="0" applyFont="1" applyFill="1" applyBorder="1"/>
    <xf numFmtId="0" fontId="10" fillId="5" borderId="7" xfId="0" applyFont="1" applyFill="1" applyBorder="1"/>
    <xf numFmtId="0" fontId="9" fillId="5" borderId="0" xfId="0" applyFont="1" applyFill="1" applyBorder="1"/>
    <xf numFmtId="0" fontId="9" fillId="2" borderId="2" xfId="0" applyFont="1" applyFill="1" applyBorder="1"/>
    <xf numFmtId="3" fontId="8" fillId="0" borderId="0" xfId="0" applyNumberFormat="1" applyFont="1" applyFill="1" applyBorder="1"/>
    <xf numFmtId="0" fontId="8" fillId="0" borderId="0" xfId="0" applyFont="1" applyFill="1" applyBorder="1" applyAlignment="1">
      <alignment horizontal="left" indent="1"/>
    </xf>
    <xf numFmtId="0" fontId="8" fillId="0" borderId="0" xfId="0" applyFont="1" applyFill="1" applyBorder="1" applyAlignment="1">
      <alignment horizontal="center"/>
    </xf>
    <xf numFmtId="0" fontId="8" fillId="0" borderId="15" xfId="0" applyFont="1" applyFill="1" applyBorder="1"/>
    <xf numFmtId="0" fontId="13" fillId="0" borderId="0" xfId="0" applyFont="1" applyFill="1"/>
    <xf numFmtId="0" fontId="10" fillId="2" borderId="1" xfId="0" applyFont="1" applyFill="1" applyBorder="1"/>
    <xf numFmtId="0" fontId="10" fillId="2" borderId="13" xfId="0" applyFont="1" applyFill="1" applyBorder="1" applyAlignment="1">
      <alignment horizontal="center" vertical="top" wrapText="1"/>
    </xf>
    <xf numFmtId="0" fontId="10" fillId="2" borderId="14" xfId="0" applyFont="1" applyFill="1" applyBorder="1" applyAlignment="1">
      <alignment horizontal="center"/>
    </xf>
    <xf numFmtId="0" fontId="0" fillId="2" borderId="9" xfId="0" applyFill="1" applyBorder="1"/>
    <xf numFmtId="0" fontId="10" fillId="0" borderId="9" xfId="0" applyFont="1" applyFill="1" applyBorder="1"/>
    <xf numFmtId="0" fontId="10" fillId="0" borderId="0" xfId="0" applyFont="1" applyFill="1" applyBorder="1" applyAlignment="1">
      <alignment horizontal="left" indent="1"/>
    </xf>
    <xf numFmtId="0" fontId="8" fillId="0" borderId="1" xfId="0" applyFont="1" applyBorder="1" applyAlignment="1">
      <alignment horizontal="left" indent="1"/>
    </xf>
    <xf numFmtId="0" fontId="8" fillId="0" borderId="3" xfId="0" applyFont="1" applyFill="1" applyBorder="1"/>
    <xf numFmtId="0" fontId="8" fillId="0" borderId="14" xfId="0" applyFont="1" applyFill="1" applyBorder="1" applyAlignment="1">
      <alignment horizontal="center"/>
    </xf>
    <xf numFmtId="0" fontId="8" fillId="0" borderId="12" xfId="0" applyFont="1" applyFill="1" applyBorder="1"/>
    <xf numFmtId="0" fontId="10" fillId="2" borderId="4" xfId="0" applyFont="1" applyFill="1" applyBorder="1" applyAlignment="1">
      <alignment horizontal="center"/>
    </xf>
    <xf numFmtId="0" fontId="9" fillId="0" borderId="15" xfId="0" applyFont="1" applyBorder="1" applyAlignment="1">
      <alignment horizontal="center"/>
    </xf>
    <xf numFmtId="175" fontId="8" fillId="2" borderId="4" xfId="0" applyNumberFormat="1" applyFont="1" applyFill="1" applyBorder="1"/>
    <xf numFmtId="2" fontId="8" fillId="2" borderId="4" xfId="0" applyNumberFormat="1" applyFont="1" applyFill="1" applyBorder="1"/>
    <xf numFmtId="3" fontId="8" fillId="2" borderId="4" xfId="0" applyNumberFormat="1" applyFont="1" applyFill="1" applyBorder="1"/>
    <xf numFmtId="175" fontId="8" fillId="0" borderId="15" xfId="0" applyNumberFormat="1" applyFont="1" applyFill="1" applyBorder="1"/>
    <xf numFmtId="2" fontId="8" fillId="0" borderId="15" xfId="0" applyNumberFormat="1" applyFont="1" applyFill="1" applyBorder="1"/>
    <xf numFmtId="3" fontId="8" fillId="0" borderId="15" xfId="0" applyNumberFormat="1" applyFont="1" applyFill="1" applyBorder="1"/>
    <xf numFmtId="9" fontId="8" fillId="4" borderId="4" xfId="0" applyNumberFormat="1" applyFont="1" applyFill="1" applyBorder="1" applyAlignment="1">
      <alignment horizontal="center"/>
    </xf>
    <xf numFmtId="0" fontId="17" fillId="0" borderId="0" xfId="0" applyFont="1"/>
    <xf numFmtId="0" fontId="3" fillId="2" borderId="5" xfId="0" applyFont="1" applyFill="1" applyBorder="1"/>
    <xf numFmtId="0" fontId="10" fillId="2" borderId="4" xfId="0" applyFont="1" applyFill="1" applyBorder="1" applyAlignment="1">
      <alignment horizontal="center" vertical="top" wrapText="1"/>
    </xf>
    <xf numFmtId="0" fontId="0" fillId="0" borderId="9" xfId="0" applyBorder="1" applyAlignment="1">
      <alignment horizontal="left" indent="1"/>
    </xf>
    <xf numFmtId="0" fontId="9" fillId="0" borderId="3" xfId="0" applyFont="1" applyFill="1" applyBorder="1"/>
    <xf numFmtId="0" fontId="9" fillId="0" borderId="0" xfId="0" applyFont="1" applyFill="1" applyBorder="1" applyAlignment="1">
      <alignment horizontal="center"/>
    </xf>
    <xf numFmtId="0" fontId="8" fillId="0" borderId="7" xfId="0" applyFont="1" applyFill="1" applyBorder="1" applyAlignment="1">
      <alignment horizontal="left" indent="1"/>
    </xf>
    <xf numFmtId="166" fontId="8" fillId="0" borderId="15" xfId="0" applyNumberFormat="1" applyFont="1" applyFill="1" applyBorder="1"/>
    <xf numFmtId="169" fontId="8" fillId="0" borderId="0" xfId="0" applyNumberFormat="1" applyFont="1" applyBorder="1" applyAlignment="1">
      <alignment horizontal="left" indent="1"/>
    </xf>
    <xf numFmtId="169" fontId="8" fillId="0" borderId="1" xfId="0" applyNumberFormat="1" applyFont="1" applyBorder="1" applyAlignment="1">
      <alignment horizontal="left" indent="1"/>
    </xf>
    <xf numFmtId="0" fontId="8" fillId="0" borderId="7" xfId="0" applyFont="1" applyFill="1" applyBorder="1" applyAlignment="1">
      <alignment horizontal="left"/>
    </xf>
    <xf numFmtId="0" fontId="8" fillId="0" borderId="11" xfId="0" applyFont="1" applyFill="1" applyBorder="1" applyAlignment="1">
      <alignment horizontal="left"/>
    </xf>
    <xf numFmtId="0" fontId="8" fillId="0" borderId="5" xfId="0" applyFont="1" applyFill="1" applyBorder="1" applyAlignment="1">
      <alignment horizontal="left"/>
    </xf>
    <xf numFmtId="166" fontId="9" fillId="0" borderId="15" xfId="0" applyNumberFormat="1" applyFont="1" applyFill="1" applyBorder="1" applyAlignment="1">
      <alignment horizontal="center"/>
    </xf>
    <xf numFmtId="175" fontId="8" fillId="0" borderId="15" xfId="0" applyNumberFormat="1" applyFont="1" applyBorder="1" applyAlignment="1">
      <alignment horizontal="center"/>
    </xf>
    <xf numFmtId="0" fontId="0" fillId="0" borderId="12" xfId="0" applyBorder="1"/>
    <xf numFmtId="0" fontId="9" fillId="0" borderId="2" xfId="0" applyFont="1" applyFill="1" applyBorder="1" applyAlignment="1">
      <alignment horizontal="center"/>
    </xf>
    <xf numFmtId="0" fontId="9" fillId="0" borderId="1" xfId="0" applyFont="1" applyFill="1" applyBorder="1" applyAlignment="1">
      <alignment horizontal="center"/>
    </xf>
    <xf numFmtId="0" fontId="9" fillId="0" borderId="0" xfId="0" applyFont="1" applyAlignment="1">
      <alignment horizontal="left" indent="1"/>
    </xf>
    <xf numFmtId="0" fontId="9" fillId="0" borderId="3" xfId="0" applyFont="1" applyFill="1" applyBorder="1" applyAlignment="1">
      <alignment horizontal="center"/>
    </xf>
    <xf numFmtId="0" fontId="8" fillId="2" borderId="14" xfId="0" applyFont="1" applyFill="1" applyBorder="1"/>
    <xf numFmtId="0" fontId="10" fillId="2" borderId="13" xfId="0" applyFont="1" applyFill="1" applyBorder="1"/>
    <xf numFmtId="0" fontId="9" fillId="0" borderId="0" xfId="0" quotePrefix="1" applyFont="1"/>
    <xf numFmtId="0" fontId="9" fillId="0" borderId="0" xfId="0" quotePrefix="1" applyFont="1" applyFill="1"/>
    <xf numFmtId="174" fontId="8" fillId="0" borderId="0" xfId="0" applyNumberFormat="1" applyFont="1" applyFill="1"/>
    <xf numFmtId="3" fontId="8" fillId="0" borderId="0" xfId="0" applyNumberFormat="1" applyFont="1" applyFill="1"/>
    <xf numFmtId="0" fontId="8" fillId="4" borderId="5" xfId="0" applyFont="1" applyFill="1" applyBorder="1"/>
    <xf numFmtId="0" fontId="10" fillId="4" borderId="2" xfId="0" applyFont="1" applyFill="1" applyBorder="1"/>
    <xf numFmtId="0" fontId="3" fillId="0" borderId="7" xfId="0" applyFont="1" applyBorder="1"/>
    <xf numFmtId="175" fontId="12" fillId="0" borderId="15" xfId="0" applyNumberFormat="1" applyFont="1" applyFill="1" applyBorder="1"/>
    <xf numFmtId="2" fontId="12" fillId="0" borderId="15" xfId="0" applyNumberFormat="1" applyFont="1" applyFill="1" applyBorder="1"/>
    <xf numFmtId="3" fontId="12" fillId="0" borderId="15" xfId="0" applyNumberFormat="1" applyFont="1" applyFill="1" applyBorder="1"/>
    <xf numFmtId="3" fontId="12" fillId="0" borderId="0" xfId="0" applyNumberFormat="1" applyFont="1" applyFill="1" applyBorder="1"/>
    <xf numFmtId="3" fontId="8" fillId="0" borderId="0" xfId="0" applyNumberFormat="1" applyFont="1" applyFill="1" applyBorder="1" applyAlignment="1">
      <alignment horizontal="right"/>
    </xf>
    <xf numFmtId="0" fontId="0" fillId="0" borderId="15" xfId="0" applyBorder="1"/>
    <xf numFmtId="3" fontId="12" fillId="0" borderId="0" xfId="0" applyNumberFormat="1" applyFont="1" applyFill="1" applyBorder="1" applyAlignment="1"/>
    <xf numFmtId="165" fontId="9" fillId="0" borderId="0" xfId="0" applyNumberFormat="1" applyFont="1" applyFill="1" applyBorder="1"/>
    <xf numFmtId="0" fontId="10" fillId="4" borderId="6" xfId="0" applyFont="1" applyFill="1" applyBorder="1"/>
    <xf numFmtId="0" fontId="0" fillId="4" borderId="2" xfId="0" applyFill="1" applyBorder="1"/>
    <xf numFmtId="0" fontId="0" fillId="4" borderId="6" xfId="0" applyFill="1" applyBorder="1"/>
    <xf numFmtId="0" fontId="10" fillId="2" borderId="4" xfId="0" applyFont="1" applyFill="1" applyBorder="1" applyAlignment="1">
      <alignment horizontal="center"/>
    </xf>
    <xf numFmtId="9" fontId="8" fillId="5" borderId="14" xfId="0" applyNumberFormat="1" applyFont="1" applyFill="1" applyBorder="1" applyAlignment="1">
      <alignment horizontal="center"/>
    </xf>
    <xf numFmtId="165" fontId="8" fillId="5" borderId="15" xfId="0" applyNumberFormat="1" applyFont="1" applyFill="1" applyBorder="1" applyAlignment="1">
      <alignment horizontal="center"/>
    </xf>
    <xf numFmtId="6" fontId="8" fillId="5" borderId="15" xfId="0" applyNumberFormat="1" applyFont="1" applyFill="1" applyBorder="1" applyAlignment="1">
      <alignment horizontal="center"/>
    </xf>
    <xf numFmtId="167" fontId="8" fillId="5" borderId="15" xfId="0" applyNumberFormat="1" applyFont="1" applyFill="1" applyBorder="1" applyAlignment="1">
      <alignment horizontal="center"/>
    </xf>
    <xf numFmtId="9" fontId="8" fillId="5" borderId="15" xfId="0" applyNumberFormat="1" applyFont="1" applyFill="1" applyBorder="1" applyAlignment="1">
      <alignment horizontal="center"/>
    </xf>
    <xf numFmtId="9" fontId="8" fillId="5" borderId="13" xfId="0" applyNumberFormat="1" applyFont="1" applyFill="1" applyBorder="1" applyAlignment="1">
      <alignment horizontal="center"/>
    </xf>
    <xf numFmtId="9" fontId="8" fillId="5" borderId="10" xfId="0" applyNumberFormat="1" applyFont="1" applyFill="1" applyBorder="1" applyAlignment="1">
      <alignment horizontal="center"/>
    </xf>
    <xf numFmtId="165" fontId="8" fillId="5" borderId="8" xfId="0" applyNumberFormat="1" applyFont="1" applyFill="1" applyBorder="1" applyAlignment="1">
      <alignment horizontal="center"/>
    </xf>
    <xf numFmtId="6" fontId="8" fillId="5" borderId="8" xfId="0" applyNumberFormat="1" applyFont="1" applyFill="1" applyBorder="1" applyAlignment="1">
      <alignment horizontal="center"/>
    </xf>
    <xf numFmtId="167" fontId="8" fillId="5" borderId="8" xfId="0" applyNumberFormat="1" applyFont="1" applyFill="1" applyBorder="1" applyAlignment="1">
      <alignment horizontal="center"/>
    </xf>
    <xf numFmtId="0" fontId="8" fillId="2" borderId="12" xfId="0" applyFont="1" applyFill="1" applyBorder="1" applyAlignment="1">
      <alignment horizontal="center"/>
    </xf>
    <xf numFmtId="9" fontId="0" fillId="0" borderId="0" xfId="0" applyNumberFormat="1" applyAlignment="1">
      <alignment horizontal="left"/>
    </xf>
    <xf numFmtId="0" fontId="0" fillId="0" borderId="0" xfId="0" applyFont="1"/>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165" fontId="8" fillId="5" borderId="9" xfId="0" applyNumberFormat="1" applyFont="1" applyFill="1" applyBorder="1" applyAlignment="1">
      <alignment horizontal="center"/>
    </xf>
    <xf numFmtId="165" fontId="8" fillId="5" borderId="10" xfId="0" applyNumberFormat="1" applyFont="1" applyFill="1" applyBorder="1" applyAlignment="1">
      <alignment horizontal="center"/>
    </xf>
    <xf numFmtId="10" fontId="8" fillId="5" borderId="7" xfId="0" applyNumberFormat="1" applyFont="1" applyFill="1" applyBorder="1" applyAlignment="1">
      <alignment horizontal="center"/>
    </xf>
    <xf numFmtId="6" fontId="8" fillId="5" borderId="7" xfId="0" applyNumberFormat="1" applyFont="1" applyFill="1" applyBorder="1" applyAlignment="1">
      <alignment horizontal="center"/>
    </xf>
    <xf numFmtId="167" fontId="8" fillId="5" borderId="7" xfId="0" applyNumberFormat="1" applyFont="1" applyFill="1" applyBorder="1" applyAlignment="1">
      <alignment horizontal="center"/>
    </xf>
    <xf numFmtId="165" fontId="8" fillId="5" borderId="12" xfId="0" applyNumberFormat="1" applyFont="1" applyFill="1" applyBorder="1" applyAlignment="1">
      <alignment horizontal="center"/>
    </xf>
    <xf numFmtId="0" fontId="9" fillId="0" borderId="0" xfId="0" quotePrefix="1" applyFont="1" applyAlignment="1">
      <alignment horizontal="left" indent="2"/>
    </xf>
    <xf numFmtId="165" fontId="8" fillId="4" borderId="4" xfId="0" applyNumberFormat="1" applyFont="1" applyFill="1" applyBorder="1" applyAlignment="1">
      <alignment horizontal="center"/>
    </xf>
    <xf numFmtId="178" fontId="8" fillId="4" borderId="4" xfId="0" applyNumberFormat="1" applyFont="1" applyFill="1" applyBorder="1" applyAlignment="1">
      <alignment horizontal="center"/>
    </xf>
    <xf numFmtId="8" fontId="8" fillId="4" borderId="4" xfId="0" applyNumberFormat="1" applyFont="1" applyFill="1" applyBorder="1" applyAlignment="1">
      <alignment horizontal="center"/>
    </xf>
    <xf numFmtId="178" fontId="8" fillId="0" borderId="3" xfId="0" applyNumberFormat="1" applyFont="1" applyFill="1" applyBorder="1" applyAlignment="1">
      <alignment horizontal="center"/>
    </xf>
    <xf numFmtId="8" fontId="8" fillId="0" borderId="0" xfId="0" applyNumberFormat="1" applyFont="1" applyFill="1" applyAlignment="1">
      <alignment horizontal="center"/>
    </xf>
    <xf numFmtId="6" fontId="8" fillId="4" borderId="4" xfId="0" applyNumberFormat="1" applyFont="1" applyFill="1" applyBorder="1" applyAlignment="1">
      <alignment horizontal="center"/>
    </xf>
    <xf numFmtId="6" fontId="8"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0" fontId="18" fillId="0" borderId="0" xfId="0" applyFont="1"/>
    <xf numFmtId="0" fontId="8" fillId="4" borderId="2" xfId="0" applyFont="1" applyFill="1" applyBorder="1"/>
    <xf numFmtId="0" fontId="8" fillId="4" borderId="6" xfId="0" applyFont="1" applyFill="1" applyBorder="1"/>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0" borderId="0" xfId="0" applyFont="1" applyAlignment="1">
      <alignment horizontal="left" indent="1"/>
    </xf>
    <xf numFmtId="0" fontId="8" fillId="5" borderId="15" xfId="0" applyFont="1" applyFill="1" applyBorder="1"/>
    <xf numFmtId="3" fontId="8" fillId="5" borderId="0" xfId="0" applyNumberFormat="1" applyFont="1" applyFill="1" applyBorder="1" applyAlignment="1">
      <alignment horizontal="center"/>
    </xf>
    <xf numFmtId="0" fontId="8" fillId="5" borderId="15" xfId="0" applyFont="1" applyFill="1" applyBorder="1" applyAlignment="1">
      <alignment horizontal="center"/>
    </xf>
    <xf numFmtId="0" fontId="8" fillId="0" borderId="15" xfId="0" applyFont="1" applyFill="1" applyBorder="1" applyAlignment="1">
      <alignment horizontal="center"/>
    </xf>
    <xf numFmtId="2" fontId="8" fillId="5" borderId="15" xfId="0" applyNumberFormat="1" applyFont="1" applyFill="1" applyBorder="1" applyAlignment="1">
      <alignment horizontal="center"/>
    </xf>
    <xf numFmtId="0" fontId="12" fillId="0" borderId="15" xfId="0" applyFont="1" applyFill="1" applyBorder="1" applyAlignment="1">
      <alignment horizontal="center"/>
    </xf>
    <xf numFmtId="2" fontId="12" fillId="5" borderId="15" xfId="0" applyNumberFormat="1" applyFont="1" applyFill="1" applyBorder="1" applyAlignment="1">
      <alignment horizontal="center"/>
    </xf>
    <xf numFmtId="2" fontId="8" fillId="0" borderId="15" xfId="0" applyNumberFormat="1" applyFont="1" applyFill="1" applyBorder="1" applyAlignment="1">
      <alignment horizontal="center"/>
    </xf>
    <xf numFmtId="2" fontId="8" fillId="5" borderId="15" xfId="0" applyNumberFormat="1" applyFont="1" applyFill="1" applyBorder="1"/>
    <xf numFmtId="2" fontId="8" fillId="5" borderId="13" xfId="0" applyNumberFormat="1" applyFont="1" applyFill="1" applyBorder="1" applyAlignment="1">
      <alignment horizontal="center"/>
    </xf>
    <xf numFmtId="6" fontId="8" fillId="4" borderId="14" xfId="0" applyNumberFormat="1" applyFont="1" applyFill="1" applyBorder="1" applyAlignment="1">
      <alignment horizontal="center"/>
    </xf>
    <xf numFmtId="0" fontId="16" fillId="0" borderId="9" xfId="0" applyFont="1" applyFill="1" applyBorder="1"/>
    <xf numFmtId="0" fontId="8" fillId="0" borderId="3" xfId="0" applyFont="1" applyFill="1" applyBorder="1" applyAlignment="1">
      <alignment horizontal="center"/>
    </xf>
    <xf numFmtId="0" fontId="8" fillId="5" borderId="14" xfId="0" applyFont="1" applyFill="1" applyBorder="1"/>
    <xf numFmtId="0" fontId="8" fillId="0" borderId="13" xfId="0" applyFont="1" applyFill="1" applyBorder="1" applyAlignment="1">
      <alignment horizontal="center"/>
    </xf>
    <xf numFmtId="171" fontId="8" fillId="0" borderId="3" xfId="0" applyNumberFormat="1" applyFont="1" applyFill="1" applyBorder="1" applyAlignment="1">
      <alignment horizontal="center"/>
    </xf>
    <xf numFmtId="0" fontId="8" fillId="4" borderId="14" xfId="0" applyFont="1" applyFill="1" applyBorder="1" applyAlignment="1">
      <alignment horizontal="center"/>
    </xf>
    <xf numFmtId="0" fontId="8" fillId="4" borderId="4" xfId="0" applyFont="1" applyFill="1" applyBorder="1" applyAlignment="1">
      <alignment horizontal="center"/>
    </xf>
    <xf numFmtId="172" fontId="8" fillId="0" borderId="3" xfId="0" applyNumberFormat="1" applyFont="1" applyFill="1" applyBorder="1" applyAlignment="1">
      <alignment horizontal="center"/>
    </xf>
    <xf numFmtId="172" fontId="8" fillId="0" borderId="1" xfId="0" applyNumberFormat="1" applyFont="1" applyFill="1" applyBorder="1" applyAlignment="1">
      <alignment horizontal="center"/>
    </xf>
    <xf numFmtId="168" fontId="8" fillId="4" borderId="4" xfId="0" applyNumberFormat="1" applyFont="1" applyFill="1" applyBorder="1" applyAlignment="1">
      <alignment horizontal="center"/>
    </xf>
    <xf numFmtId="0" fontId="9" fillId="0" borderId="1" xfId="0" applyFont="1" applyFill="1" applyBorder="1"/>
    <xf numFmtId="176" fontId="9" fillId="0" borderId="0" xfId="0" applyNumberFormat="1" applyFont="1" applyFill="1" applyBorder="1"/>
    <xf numFmtId="170" fontId="9" fillId="0" borderId="3" xfId="0" applyNumberFormat="1" applyFont="1" applyFill="1" applyBorder="1"/>
    <xf numFmtId="0" fontId="9" fillId="0" borderId="0" xfId="0" quotePrefix="1" applyFont="1" applyFill="1" applyBorder="1" applyAlignment="1">
      <alignment horizontal="left"/>
    </xf>
    <xf numFmtId="0" fontId="9" fillId="0" borderId="3" xfId="0" quotePrefix="1" applyFont="1" applyFill="1" applyBorder="1" applyAlignment="1">
      <alignment horizontal="left"/>
    </xf>
    <xf numFmtId="0" fontId="9" fillId="0" borderId="1" xfId="0" quotePrefix="1" applyFont="1" applyFill="1" applyBorder="1" applyAlignment="1">
      <alignment horizontal="left"/>
    </xf>
    <xf numFmtId="0" fontId="9" fillId="5" borderId="15" xfId="0" applyFont="1" applyFill="1" applyBorder="1" applyAlignment="1">
      <alignment horizontal="center"/>
    </xf>
    <xf numFmtId="0" fontId="8" fillId="2" borderId="4" xfId="0" applyFont="1" applyFill="1" applyBorder="1" applyAlignment="1">
      <alignment horizontal="center" vertical="top" wrapText="1"/>
    </xf>
    <xf numFmtId="1" fontId="8" fillId="4" borderId="4" xfId="0" applyNumberFormat="1" applyFont="1" applyFill="1" applyBorder="1" applyAlignment="1">
      <alignment horizontal="center"/>
    </xf>
    <xf numFmtId="0" fontId="9" fillId="0" borderId="14" xfId="0" applyFont="1" applyFill="1" applyBorder="1" applyAlignment="1">
      <alignment horizontal="center" vertical="top" wrapText="1"/>
    </xf>
    <xf numFmtId="0" fontId="10" fillId="0" borderId="0" xfId="0" applyFont="1" applyFill="1" applyBorder="1"/>
    <xf numFmtId="0" fontId="8" fillId="0" borderId="7" xfId="0" quotePrefix="1" applyFont="1" applyFill="1" applyBorder="1"/>
    <xf numFmtId="0" fontId="8" fillId="0" borderId="1" xfId="0" applyFont="1" applyFill="1" applyBorder="1" applyAlignment="1">
      <alignment horizontal="center"/>
    </xf>
    <xf numFmtId="2" fontId="8" fillId="0" borderId="13" xfId="0" applyNumberFormat="1" applyFont="1" applyFill="1" applyBorder="1" applyAlignment="1">
      <alignment horizontal="center"/>
    </xf>
    <xf numFmtId="0" fontId="9" fillId="0" borderId="14" xfId="0" applyFont="1" applyFill="1" applyBorder="1" applyAlignment="1">
      <alignment horizontal="center"/>
    </xf>
    <xf numFmtId="4" fontId="8" fillId="5" borderId="15" xfId="0" applyNumberFormat="1" applyFont="1" applyFill="1" applyBorder="1" applyAlignment="1">
      <alignment horizontal="center"/>
    </xf>
    <xf numFmtId="4" fontId="12" fillId="5" borderId="15" xfId="0" applyNumberFormat="1" applyFont="1" applyFill="1" applyBorder="1" applyAlignment="1">
      <alignment horizontal="center"/>
    </xf>
    <xf numFmtId="4" fontId="8" fillId="5" borderId="13" xfId="0" applyNumberFormat="1" applyFont="1" applyFill="1" applyBorder="1" applyAlignment="1">
      <alignment horizontal="center"/>
    </xf>
    <xf numFmtId="3" fontId="8" fillId="5" borderId="15" xfId="0" applyNumberFormat="1" applyFont="1" applyFill="1" applyBorder="1" applyAlignment="1">
      <alignment horizontal="center"/>
    </xf>
    <xf numFmtId="0" fontId="10" fillId="2" borderId="0" xfId="0" applyFont="1" applyFill="1" applyBorder="1"/>
    <xf numFmtId="0" fontId="8" fillId="2" borderId="10" xfId="0" applyFont="1" applyFill="1" applyBorder="1"/>
    <xf numFmtId="0" fontId="10" fillId="2" borderId="8" xfId="0" applyFont="1" applyFill="1" applyBorder="1"/>
    <xf numFmtId="0" fontId="10" fillId="2" borderId="12" xfId="0" applyFont="1" applyFill="1" applyBorder="1"/>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4" fontId="8" fillId="5" borderId="0" xfId="0" applyNumberFormat="1" applyFont="1" applyFill="1" applyBorder="1" applyAlignment="1">
      <alignment horizontal="center"/>
    </xf>
    <xf numFmtId="0" fontId="8" fillId="0" borderId="2" xfId="0" applyFont="1" applyFill="1" applyBorder="1"/>
    <xf numFmtId="175" fontId="8" fillId="5" borderId="15" xfId="0" applyNumberFormat="1" applyFont="1" applyFill="1" applyBorder="1" applyAlignment="1">
      <alignment horizontal="center"/>
    </xf>
    <xf numFmtId="175" fontId="8" fillId="5" borderId="13" xfId="0" applyNumberFormat="1" applyFont="1" applyFill="1" applyBorder="1" applyAlignment="1">
      <alignment horizontal="center"/>
    </xf>
    <xf numFmtId="175" fontId="8" fillId="5" borderId="4" xfId="0" applyNumberFormat="1" applyFont="1" applyFill="1" applyBorder="1" applyAlignment="1">
      <alignment horizontal="center"/>
    </xf>
    <xf numFmtId="177" fontId="8" fillId="5" borderId="15" xfId="0" applyNumberFormat="1" applyFont="1" applyFill="1" applyBorder="1" applyAlignment="1">
      <alignment horizontal="center"/>
    </xf>
    <xf numFmtId="177" fontId="8" fillId="5" borderId="13" xfId="0" applyNumberFormat="1" applyFont="1" applyFill="1" applyBorder="1" applyAlignment="1">
      <alignment horizontal="center"/>
    </xf>
    <xf numFmtId="0" fontId="10" fillId="0" borderId="4" xfId="0" applyFont="1" applyFill="1" applyBorder="1" applyAlignment="1">
      <alignment horizontal="left" vertical="top"/>
    </xf>
    <xf numFmtId="0" fontId="8" fillId="0" borderId="15" xfId="0" applyFont="1" applyFill="1" applyBorder="1" applyAlignment="1">
      <alignment horizontal="left"/>
    </xf>
    <xf numFmtId="0" fontId="0" fillId="0" borderId="10" xfId="0" applyFill="1" applyBorder="1"/>
    <xf numFmtId="0" fontId="0" fillId="0" borderId="8" xfId="0" applyFill="1" applyBorder="1"/>
    <xf numFmtId="0" fontId="0" fillId="0" borderId="12" xfId="0" applyFill="1" applyBorder="1"/>
    <xf numFmtId="0" fontId="9" fillId="0" borderId="9"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10" xfId="0" applyFont="1" applyFill="1" applyBorder="1" applyAlignment="1">
      <alignment horizontal="center" vertical="top" wrapText="1"/>
    </xf>
    <xf numFmtId="1" fontId="8" fillId="4" borderId="5" xfId="0" applyNumberFormat="1" applyFont="1" applyFill="1" applyBorder="1" applyAlignment="1">
      <alignment horizontal="center"/>
    </xf>
    <xf numFmtId="1" fontId="8" fillId="4" borderId="2" xfId="0" applyNumberFormat="1" applyFont="1" applyFill="1" applyBorder="1" applyAlignment="1">
      <alignment horizontal="center"/>
    </xf>
    <xf numFmtId="1" fontId="8" fillId="4" borderId="6" xfId="0" applyNumberFormat="1" applyFont="1" applyFill="1" applyBorder="1" applyAlignment="1">
      <alignment horizontal="center"/>
    </xf>
    <xf numFmtId="0" fontId="9" fillId="0" borderId="9" xfId="0" applyFont="1" applyFill="1" applyBorder="1" applyAlignment="1">
      <alignment horizontal="center"/>
    </xf>
    <xf numFmtId="0" fontId="9" fillId="0" borderId="10" xfId="0" applyFont="1" applyFill="1" applyBorder="1" applyAlignment="1">
      <alignment horizontal="center"/>
    </xf>
    <xf numFmtId="4" fontId="8" fillId="5" borderId="7" xfId="0" applyNumberFormat="1" applyFont="1" applyFill="1" applyBorder="1" applyAlignment="1">
      <alignment horizontal="center"/>
    </xf>
    <xf numFmtId="4" fontId="8" fillId="5" borderId="8" xfId="0" applyNumberFormat="1" applyFont="1" applyFill="1" applyBorder="1" applyAlignment="1">
      <alignment horizontal="center"/>
    </xf>
    <xf numFmtId="4" fontId="12" fillId="5" borderId="7" xfId="0" applyNumberFormat="1" applyFont="1" applyFill="1" applyBorder="1" applyAlignment="1">
      <alignment horizontal="center"/>
    </xf>
    <xf numFmtId="4" fontId="12" fillId="5" borderId="0" xfId="0" applyNumberFormat="1" applyFont="1" applyFill="1" applyBorder="1" applyAlignment="1">
      <alignment horizontal="center"/>
    </xf>
    <xf numFmtId="4" fontId="12" fillId="5" borderId="8" xfId="0" applyNumberFormat="1" applyFont="1" applyFill="1" applyBorder="1" applyAlignment="1">
      <alignment horizontal="center"/>
    </xf>
    <xf numFmtId="4" fontId="8" fillId="5" borderId="11" xfId="0" applyNumberFormat="1" applyFont="1" applyFill="1" applyBorder="1" applyAlignment="1">
      <alignment horizontal="center"/>
    </xf>
    <xf numFmtId="4" fontId="8" fillId="5" borderId="1" xfId="0" applyNumberFormat="1" applyFont="1" applyFill="1" applyBorder="1" applyAlignment="1">
      <alignment horizontal="center"/>
    </xf>
    <xf numFmtId="4" fontId="8" fillId="5" borderId="12" xfId="0" applyNumberFormat="1" applyFont="1" applyFill="1" applyBorder="1" applyAlignment="1">
      <alignment horizontal="center"/>
    </xf>
    <xf numFmtId="0" fontId="8" fillId="2" borderId="1" xfId="0" applyFont="1" applyFill="1" applyBorder="1" applyAlignment="1">
      <alignment horizontal="center" vertical="top" wrapText="1"/>
    </xf>
    <xf numFmtId="0" fontId="9" fillId="0" borderId="0" xfId="0" applyFont="1" applyAlignment="1">
      <alignment horizontal="left" indent="2"/>
    </xf>
    <xf numFmtId="0" fontId="8" fillId="0" borderId="0" xfId="0" applyFont="1" applyFill="1" applyAlignment="1">
      <alignment horizontal="left" indent="1"/>
    </xf>
    <xf numFmtId="0" fontId="19" fillId="0" borderId="0" xfId="0" applyFont="1"/>
    <xf numFmtId="0" fontId="20" fillId="0" borderId="0" xfId="0" applyFont="1"/>
    <xf numFmtId="3" fontId="8" fillId="5" borderId="0" xfId="0" applyNumberFormat="1" applyFont="1" applyFill="1"/>
    <xf numFmtId="0" fontId="17" fillId="5" borderId="0" xfId="0" applyFont="1" applyFill="1"/>
    <xf numFmtId="0" fontId="0" fillId="5" borderId="0" xfId="0" applyFill="1"/>
    <xf numFmtId="0" fontId="13" fillId="5" borderId="0" xfId="0" applyFont="1" applyFill="1"/>
    <xf numFmtId="0" fontId="10" fillId="5" borderId="0" xfId="0" applyFont="1" applyFill="1"/>
    <xf numFmtId="0" fontId="8" fillId="5" borderId="0" xfId="0" applyFont="1" applyFill="1"/>
    <xf numFmtId="0" fontId="3" fillId="5" borderId="5" xfId="0" applyFont="1" applyFill="1" applyBorder="1"/>
    <xf numFmtId="0" fontId="8" fillId="5" borderId="2" xfId="0" applyFont="1" applyFill="1" applyBorder="1"/>
    <xf numFmtId="0" fontId="10" fillId="5" borderId="4" xfId="0" applyFont="1" applyFill="1" applyBorder="1" applyAlignment="1">
      <alignment horizontal="center"/>
    </xf>
    <xf numFmtId="0" fontId="8" fillId="5" borderId="0" xfId="0" applyFont="1" applyFill="1" applyBorder="1"/>
    <xf numFmtId="0" fontId="8" fillId="5" borderId="7" xfId="0" applyFont="1" applyFill="1" applyBorder="1" applyAlignment="1">
      <alignment horizontal="left" indent="1"/>
    </xf>
    <xf numFmtId="3" fontId="8" fillId="5" borderId="0" xfId="0" applyNumberFormat="1" applyFont="1" applyFill="1" applyBorder="1"/>
    <xf numFmtId="164" fontId="8" fillId="5" borderId="0" xfId="0" applyNumberFormat="1" applyFont="1" applyFill="1" applyBorder="1"/>
    <xf numFmtId="8" fontId="8" fillId="5" borderId="0" xfId="0" applyNumberFormat="1" applyFont="1" applyFill="1"/>
    <xf numFmtId="0" fontId="8" fillId="5" borderId="0" xfId="0" quotePrefix="1" applyFont="1" applyFill="1" applyBorder="1"/>
    <xf numFmtId="175" fontId="8" fillId="5" borderId="15" xfId="0" applyNumberFormat="1" applyFont="1" applyFill="1" applyBorder="1"/>
    <xf numFmtId="3" fontId="8" fillId="5" borderId="15" xfId="0" applyNumberFormat="1" applyFont="1" applyFill="1" applyBorder="1"/>
    <xf numFmtId="0" fontId="8" fillId="5" borderId="0" xfId="0" applyFont="1" applyFill="1" applyBorder="1" applyAlignment="1">
      <alignment horizontal="left"/>
    </xf>
    <xf numFmtId="9" fontId="8" fillId="5" borderId="0" xfId="0" applyNumberFormat="1" applyFont="1" applyFill="1" applyBorder="1"/>
    <xf numFmtId="6" fontId="8" fillId="5" borderId="0" xfId="0" applyNumberFormat="1" applyFont="1" applyFill="1"/>
    <xf numFmtId="175" fontId="12" fillId="5" borderId="15" xfId="0" applyNumberFormat="1" applyFont="1" applyFill="1" applyBorder="1"/>
    <xf numFmtId="2" fontId="12" fillId="5" borderId="15" xfId="0" applyNumberFormat="1" applyFont="1" applyFill="1" applyBorder="1"/>
    <xf numFmtId="3" fontId="12" fillId="5" borderId="15" xfId="0" applyNumberFormat="1" applyFont="1" applyFill="1" applyBorder="1"/>
    <xf numFmtId="0" fontId="8" fillId="5" borderId="0" xfId="0" applyFont="1" applyFill="1" applyBorder="1" applyAlignment="1">
      <alignment horizontal="left" indent="1"/>
    </xf>
    <xf numFmtId="0" fontId="8" fillId="5" borderId="7" xfId="0" applyFont="1" applyFill="1" applyBorder="1"/>
    <xf numFmtId="0" fontId="8" fillId="5" borderId="5" xfId="0" applyFont="1" applyFill="1" applyBorder="1" applyAlignment="1">
      <alignment horizontal="left" indent="1"/>
    </xf>
    <xf numFmtId="175" fontId="8" fillId="5" borderId="4" xfId="0" applyNumberFormat="1" applyFont="1" applyFill="1" applyBorder="1"/>
    <xf numFmtId="2" fontId="8" fillId="5" borderId="4" xfId="0" applyNumberFormat="1" applyFont="1" applyFill="1" applyBorder="1"/>
    <xf numFmtId="3" fontId="8" fillId="5" borderId="4" xfId="0" applyNumberFormat="1" applyFont="1" applyFill="1" applyBorder="1"/>
    <xf numFmtId="3" fontId="8" fillId="5" borderId="0" xfId="0" applyNumberFormat="1" applyFont="1" applyFill="1" applyBorder="1" applyAlignment="1">
      <alignment horizontal="right"/>
    </xf>
    <xf numFmtId="164" fontId="8" fillId="5" borderId="2" xfId="0" applyNumberFormat="1" applyFont="1" applyFill="1" applyBorder="1"/>
    <xf numFmtId="0" fontId="8" fillId="5" borderId="5" xfId="0" applyFont="1" applyFill="1" applyBorder="1"/>
    <xf numFmtId="0" fontId="9" fillId="5" borderId="0" xfId="0" applyFont="1" applyFill="1"/>
    <xf numFmtId="0" fontId="5" fillId="5" borderId="0" xfId="0" applyFont="1" applyFill="1"/>
    <xf numFmtId="0" fontId="8" fillId="5" borderId="0" xfId="0" quotePrefix="1" applyFont="1" applyFill="1"/>
    <xf numFmtId="3" fontId="12" fillId="5" borderId="0" xfId="0" applyNumberFormat="1" applyFont="1" applyFill="1" applyBorder="1"/>
    <xf numFmtId="0" fontId="12" fillId="5" borderId="0" xfId="0" quotePrefix="1" applyFont="1" applyFill="1" applyBorder="1"/>
    <xf numFmtId="9" fontId="8" fillId="5" borderId="0" xfId="0" quotePrefix="1" applyNumberFormat="1" applyFont="1" applyFill="1" applyBorder="1"/>
    <xf numFmtId="164" fontId="8" fillId="5" borderId="0" xfId="0" quotePrefix="1" applyNumberFormat="1" applyFont="1" applyFill="1" applyBorder="1"/>
    <xf numFmtId="167" fontId="8" fillId="5" borderId="0" xfId="0" applyNumberFormat="1" applyFont="1" applyFill="1" applyBorder="1" applyAlignment="1">
      <alignment horizontal="center"/>
    </xf>
    <xf numFmtId="167" fontId="12" fillId="5" borderId="0" xfId="0" applyNumberFormat="1" applyFont="1" applyFill="1" applyBorder="1" applyAlignment="1">
      <alignment horizontal="center"/>
    </xf>
    <xf numFmtId="8" fontId="8" fillId="5" borderId="0" xfId="0" applyNumberFormat="1" applyFont="1" applyFill="1" applyAlignment="1">
      <alignment horizontal="center"/>
    </xf>
    <xf numFmtId="8" fontId="12" fillId="5" borderId="0" xfId="0" applyNumberFormat="1" applyFont="1" applyFill="1" applyAlignment="1">
      <alignment horizontal="center"/>
    </xf>
    <xf numFmtId="6" fontId="8" fillId="5" borderId="0" xfId="0" applyNumberFormat="1" applyFont="1" applyFill="1" applyAlignment="1">
      <alignment horizontal="center"/>
    </xf>
    <xf numFmtId="3" fontId="12" fillId="5" borderId="0" xfId="0" applyNumberFormat="1" applyFont="1" applyFill="1" applyBorder="1" applyAlignment="1">
      <alignment horizontal="right"/>
    </xf>
    <xf numFmtId="3" fontId="8" fillId="4" borderId="4" xfId="0" applyNumberFormat="1" applyFont="1" applyFill="1" applyBorder="1" applyAlignment="1">
      <alignment horizontal="center"/>
    </xf>
    <xf numFmtId="165" fontId="8" fillId="4" borderId="4" xfId="1" applyNumberFormat="1" applyFont="1" applyFill="1" applyBorder="1" applyAlignment="1">
      <alignment horizontal="center"/>
    </xf>
    <xf numFmtId="9" fontId="8" fillId="0" borderId="0" xfId="1" applyFont="1" applyFill="1" applyAlignment="1">
      <alignment horizontal="center"/>
    </xf>
    <xf numFmtId="0" fontId="9" fillId="0" borderId="0" xfId="0" quotePrefix="1" applyFont="1" applyFill="1" applyBorder="1"/>
    <xf numFmtId="164" fontId="9" fillId="0" borderId="0" xfId="0" applyNumberFormat="1" applyFont="1" applyFill="1" applyBorder="1"/>
    <xf numFmtId="9" fontId="9" fillId="0" borderId="0" xfId="0" applyNumberFormat="1" applyFont="1" applyFill="1" applyBorder="1"/>
    <xf numFmtId="0" fontId="9" fillId="0" borderId="0" xfId="0" applyFont="1" applyBorder="1"/>
    <xf numFmtId="164" fontId="9" fillId="0" borderId="0" xfId="0" applyNumberFormat="1" applyFont="1" applyBorder="1"/>
    <xf numFmtId="3" fontId="9" fillId="0" borderId="0" xfId="0" applyNumberFormat="1" applyFont="1" applyFill="1" applyBorder="1"/>
    <xf numFmtId="0" fontId="9" fillId="0" borderId="0" xfId="0" quotePrefix="1" applyFont="1" applyBorder="1"/>
    <xf numFmtId="0" fontId="4" fillId="5" borderId="15" xfId="0" applyFont="1" applyFill="1" applyBorder="1"/>
    <xf numFmtId="0" fontId="14" fillId="5" borderId="15" xfId="0" applyFont="1" applyFill="1" applyBorder="1" applyAlignment="1">
      <alignment horizontal="center" vertical="top" wrapText="1"/>
    </xf>
    <xf numFmtId="0" fontId="8" fillId="5" borderId="13" xfId="0" applyFont="1" applyFill="1" applyBorder="1" applyAlignment="1">
      <alignment horizontal="center"/>
    </xf>
    <xf numFmtId="0" fontId="8" fillId="5" borderId="14" xfId="0" applyFont="1" applyFill="1" applyBorder="1" applyAlignment="1">
      <alignment horizontal="center"/>
    </xf>
    <xf numFmtId="175" fontId="8" fillId="5" borderId="14" xfId="0" applyNumberFormat="1" applyFont="1" applyFill="1" applyBorder="1" applyAlignment="1">
      <alignment horizontal="center"/>
    </xf>
    <xf numFmtId="175" fontId="8" fillId="5" borderId="0" xfId="0" applyNumberFormat="1" applyFont="1" applyFill="1" applyBorder="1" applyAlignment="1">
      <alignment horizontal="center"/>
    </xf>
    <xf numFmtId="175" fontId="8" fillId="5" borderId="0" xfId="0" applyNumberFormat="1" applyFont="1" applyFill="1" applyBorder="1"/>
    <xf numFmtId="0" fontId="0" fillId="5" borderId="0" xfId="0" applyFill="1" applyAlignment="1">
      <alignment horizontal="center"/>
    </xf>
    <xf numFmtId="0" fontId="17" fillId="0" borderId="0" xfId="0" applyFont="1" applyFill="1" applyBorder="1"/>
    <xf numFmtId="164" fontId="9" fillId="5" borderId="0" xfId="0" applyNumberFormat="1" applyFont="1" applyFill="1" applyBorder="1"/>
    <xf numFmtId="3" fontId="8" fillId="0" borderId="0" xfId="0" applyNumberFormat="1" applyFont="1"/>
    <xf numFmtId="0" fontId="8" fillId="0" borderId="11" xfId="0" applyFont="1" applyBorder="1"/>
    <xf numFmtId="0" fontId="8" fillId="0" borderId="1" xfId="0" applyFont="1" applyBorder="1"/>
    <xf numFmtId="8" fontId="8" fillId="5" borderId="13" xfId="0" applyNumberFormat="1" applyFont="1" applyFill="1" applyBorder="1" applyAlignment="1">
      <alignment horizontal="center"/>
    </xf>
    <xf numFmtId="8" fontId="8" fillId="5" borderId="11" xfId="0" applyNumberFormat="1" applyFont="1" applyFill="1" applyBorder="1" applyAlignment="1">
      <alignment horizontal="center"/>
    </xf>
    <xf numFmtId="9" fontId="8" fillId="5" borderId="3" xfId="0" applyNumberFormat="1" applyFont="1" applyFill="1" applyBorder="1" applyAlignment="1">
      <alignment horizontal="center"/>
    </xf>
    <xf numFmtId="0" fontId="9" fillId="0" borderId="7" xfId="0" applyFont="1" applyFill="1" applyBorder="1"/>
    <xf numFmtId="0" fontId="9" fillId="0" borderId="8" xfId="0" applyFont="1" applyFill="1" applyBorder="1"/>
    <xf numFmtId="0" fontId="9" fillId="0" borderId="12" xfId="0" applyFont="1" applyFill="1" applyBorder="1"/>
    <xf numFmtId="0" fontId="9" fillId="0" borderId="11" xfId="0" applyFont="1" applyFill="1" applyBorder="1"/>
    <xf numFmtId="167" fontId="8" fillId="5" borderId="0" xfId="0" applyNumberFormat="1" applyFont="1" applyFill="1" applyBorder="1" applyAlignment="1">
      <alignment horizontal="right"/>
    </xf>
    <xf numFmtId="9" fontId="9" fillId="5" borderId="0" xfId="0" applyNumberFormat="1" applyFont="1" applyFill="1" applyBorder="1"/>
    <xf numFmtId="0" fontId="23" fillId="5" borderId="0" xfId="0" applyFont="1" applyFill="1" applyBorder="1"/>
    <xf numFmtId="9" fontId="23" fillId="5" borderId="0" xfId="0" quotePrefix="1" applyNumberFormat="1" applyFont="1" applyFill="1" applyBorder="1" applyAlignment="1">
      <alignment horizontal="center"/>
    </xf>
    <xf numFmtId="9" fontId="23" fillId="5" borderId="0" xfId="0" applyNumberFormat="1" applyFont="1" applyFill="1" applyBorder="1" applyAlignment="1">
      <alignment horizontal="center"/>
    </xf>
    <xf numFmtId="0" fontId="22" fillId="5" borderId="14" xfId="0" applyFont="1" applyFill="1" applyBorder="1"/>
    <xf numFmtId="165" fontId="8" fillId="5" borderId="14" xfId="0" applyNumberFormat="1" applyFont="1" applyFill="1" applyBorder="1" applyAlignment="1">
      <alignment horizontal="center"/>
    </xf>
    <xf numFmtId="10" fontId="8" fillId="5" borderId="14" xfId="0" applyNumberFormat="1" applyFont="1" applyFill="1" applyBorder="1" applyAlignment="1">
      <alignment horizontal="center"/>
    </xf>
    <xf numFmtId="179" fontId="8" fillId="5" borderId="14" xfId="0" applyNumberFormat="1" applyFont="1" applyFill="1" applyBorder="1" applyAlignment="1">
      <alignment horizontal="center"/>
    </xf>
    <xf numFmtId="4" fontId="8" fillId="5" borderId="14" xfId="0" applyNumberFormat="1" applyFont="1" applyFill="1" applyBorder="1" applyAlignment="1">
      <alignment horizontal="center"/>
    </xf>
    <xf numFmtId="0" fontId="22" fillId="5" borderId="15" xfId="0" applyFont="1" applyFill="1" applyBorder="1"/>
    <xf numFmtId="10" fontId="8" fillId="5" borderId="15" xfId="0" applyNumberFormat="1" applyFont="1" applyFill="1" applyBorder="1" applyAlignment="1">
      <alignment horizontal="center"/>
    </xf>
    <xf numFmtId="179" fontId="8" fillId="5" borderId="15" xfId="0" applyNumberFormat="1" applyFont="1" applyFill="1" applyBorder="1" applyAlignment="1">
      <alignment horizontal="center"/>
    </xf>
    <xf numFmtId="0" fontId="22" fillId="5" borderId="13" xfId="0" applyFont="1" applyFill="1" applyBorder="1"/>
    <xf numFmtId="165" fontId="8" fillId="5" borderId="13" xfId="0" applyNumberFormat="1" applyFont="1" applyFill="1" applyBorder="1" applyAlignment="1">
      <alignment horizontal="center"/>
    </xf>
    <xf numFmtId="10" fontId="8" fillId="5" borderId="13" xfId="0" applyNumberFormat="1" applyFont="1" applyFill="1" applyBorder="1" applyAlignment="1">
      <alignment horizontal="center"/>
    </xf>
    <xf numFmtId="179" fontId="8" fillId="5" borderId="13" xfId="0" applyNumberFormat="1" applyFont="1" applyFill="1" applyBorder="1" applyAlignment="1">
      <alignment horizontal="center"/>
    </xf>
    <xf numFmtId="0" fontId="19" fillId="5" borderId="5" xfId="0" applyFont="1" applyFill="1" applyBorder="1" applyAlignment="1">
      <alignment horizontal="center"/>
    </xf>
    <xf numFmtId="0" fontId="22" fillId="0" borderId="5" xfId="0" applyFont="1" applyFill="1" applyBorder="1" applyAlignment="1">
      <alignment horizontal="center" vertical="top" wrapText="1"/>
    </xf>
    <xf numFmtId="0" fontId="22" fillId="5" borderId="5" xfId="0" applyFont="1" applyFill="1" applyBorder="1" applyAlignment="1">
      <alignment horizontal="center" vertical="top" wrapText="1"/>
    </xf>
    <xf numFmtId="0" fontId="22" fillId="5" borderId="4" xfId="0" applyFont="1" applyFill="1" applyBorder="1" applyAlignment="1">
      <alignment horizontal="center" vertical="top" wrapText="1"/>
    </xf>
    <xf numFmtId="8" fontId="8" fillId="5" borderId="0" xfId="0" applyNumberFormat="1" applyFont="1" applyFill="1" applyAlignment="1">
      <alignment horizontal="right"/>
    </xf>
    <xf numFmtId="8" fontId="0" fillId="5" borderId="0" xfId="0" applyNumberFormat="1" applyFill="1"/>
    <xf numFmtId="180" fontId="8" fillId="5" borderId="0" xfId="0" applyNumberFormat="1" applyFont="1" applyFill="1" applyBorder="1" applyAlignment="1">
      <alignment horizontal="right"/>
    </xf>
    <xf numFmtId="0" fontId="10" fillId="0" borderId="0" xfId="0" applyFont="1" applyFill="1"/>
    <xf numFmtId="165" fontId="8" fillId="5" borderId="4" xfId="0" applyNumberFormat="1" applyFont="1" applyFill="1" applyBorder="1" applyAlignment="1">
      <alignment horizontal="center"/>
    </xf>
    <xf numFmtId="0" fontId="8" fillId="5" borderId="9" xfId="0" applyFont="1" applyFill="1" applyBorder="1"/>
    <xf numFmtId="0" fontId="10" fillId="5" borderId="3" xfId="0" applyFont="1" applyFill="1" applyBorder="1"/>
    <xf numFmtId="0" fontId="10" fillId="5" borderId="10" xfId="0" applyFont="1" applyFill="1" applyBorder="1"/>
    <xf numFmtId="0" fontId="17" fillId="3" borderId="0" xfId="0" applyFont="1" applyFill="1"/>
    <xf numFmtId="0" fontId="0" fillId="3" borderId="0" xfId="0" applyFill="1"/>
    <xf numFmtId="181" fontId="9" fillId="5" borderId="13" xfId="0" applyNumberFormat="1" applyFont="1" applyFill="1" applyBorder="1" applyAlignment="1">
      <alignment horizontal="center"/>
    </xf>
    <xf numFmtId="0" fontId="4" fillId="5" borderId="1" xfId="0" applyFont="1" applyFill="1" applyBorder="1"/>
    <xf numFmtId="0" fontId="9" fillId="5" borderId="15" xfId="0" applyFont="1" applyFill="1" applyBorder="1" applyAlignment="1">
      <alignment horizontal="center" vertical="top" wrapText="1"/>
    </xf>
    <xf numFmtId="0" fontId="0" fillId="0" borderId="14" xfId="0" applyFill="1" applyBorder="1"/>
    <xf numFmtId="0" fontId="23" fillId="5" borderId="13" xfId="0" applyFont="1" applyFill="1" applyBorder="1"/>
    <xf numFmtId="0" fontId="8" fillId="5" borderId="0" xfId="0" applyFont="1" applyFill="1" applyAlignment="1">
      <alignment horizontal="left" indent="1"/>
    </xf>
    <xf numFmtId="3" fontId="22" fillId="5" borderId="0" xfId="0" applyNumberFormat="1" applyFont="1" applyFill="1"/>
    <xf numFmtId="0" fontId="22" fillId="0" borderId="0" xfId="0" applyFont="1"/>
    <xf numFmtId="3" fontId="24" fillId="5" borderId="0" xfId="0" applyNumberFormat="1" applyFont="1" applyFill="1"/>
    <xf numFmtId="0" fontId="22" fillId="5" borderId="0" xfId="0" quotePrefix="1" applyFont="1" applyFill="1"/>
    <xf numFmtId="0" fontId="22" fillId="5" borderId="0" xfId="0" applyFont="1" applyFill="1"/>
    <xf numFmtId="177" fontId="8" fillId="5" borderId="14" xfId="0" applyNumberFormat="1" applyFont="1" applyFill="1" applyBorder="1" applyAlignment="1">
      <alignment horizontal="center"/>
    </xf>
    <xf numFmtId="0" fontId="14" fillId="0" borderId="0" xfId="3" applyFont="1"/>
    <xf numFmtId="0" fontId="9" fillId="0" borderId="0" xfId="3" applyFont="1"/>
    <xf numFmtId="0" fontId="9" fillId="0" borderId="0" xfId="3" applyFont="1" applyAlignment="1">
      <alignment vertical="top"/>
    </xf>
    <xf numFmtId="0" fontId="9" fillId="0" borderId="0" xfId="0" applyFont="1" applyAlignment="1"/>
    <xf numFmtId="0" fontId="9" fillId="0" borderId="0" xfId="3" applyFont="1" applyAlignment="1"/>
    <xf numFmtId="0" fontId="8" fillId="5" borderId="15" xfId="0" applyFont="1" applyFill="1" applyBorder="1" applyAlignment="1">
      <alignment horizontal="left"/>
    </xf>
    <xf numFmtId="0" fontId="8" fillId="5" borderId="3" xfId="0" applyFont="1" applyFill="1" applyBorder="1" applyAlignment="1">
      <alignment horizontal="left" indent="1"/>
    </xf>
    <xf numFmtId="2" fontId="26" fillId="2" borderId="13" xfId="0" applyNumberFormat="1" applyFont="1" applyFill="1" applyBorder="1" applyAlignment="1">
      <alignment horizontal="center" vertical="top" wrapText="1"/>
    </xf>
    <xf numFmtId="174" fontId="8" fillId="4" borderId="4" xfId="0" applyNumberFormat="1" applyFont="1" applyFill="1" applyBorder="1" applyAlignment="1">
      <alignment horizontal="center"/>
    </xf>
    <xf numFmtId="0" fontId="9" fillId="0" borderId="0" xfId="0" applyFont="1" applyFill="1" applyAlignment="1">
      <alignment horizontal="left" indent="2"/>
    </xf>
    <xf numFmtId="164" fontId="8" fillId="4" borderId="2" xfId="0" applyNumberFormat="1" applyFont="1" applyFill="1" applyBorder="1" applyAlignment="1">
      <alignment horizontal="center"/>
    </xf>
    <xf numFmtId="0" fontId="9" fillId="0" borderId="0" xfId="3" applyNumberFormat="1" applyFont="1" applyAlignment="1">
      <alignment wrapText="1"/>
    </xf>
    <xf numFmtId="0" fontId="1" fillId="0" borderId="0" xfId="4" applyFont="1" applyAlignment="1">
      <alignment wrapText="1"/>
    </xf>
    <xf numFmtId="0" fontId="9" fillId="0" borderId="0" xfId="0" applyFont="1" applyAlignment="1"/>
    <xf numFmtId="0" fontId="9" fillId="0" borderId="0" xfId="3" applyFont="1" applyAlignment="1">
      <alignment wrapText="1"/>
    </xf>
    <xf numFmtId="0" fontId="9" fillId="0" borderId="0" xfId="3" applyFont="1" applyAlignment="1">
      <alignment horizontal="left" vertical="top" wrapText="1"/>
    </xf>
    <xf numFmtId="0" fontId="9" fillId="0" borderId="0" xfId="3" applyNumberFormat="1" applyFont="1" applyAlignment="1">
      <alignment horizontal="left" wrapText="1"/>
    </xf>
    <xf numFmtId="0" fontId="9" fillId="0" borderId="0" xfId="3" applyFont="1" applyAlignment="1">
      <alignment horizontal="left" wrapText="1"/>
    </xf>
    <xf numFmtId="0" fontId="9" fillId="2" borderId="15" xfId="0" applyFont="1" applyFill="1" applyBorder="1" applyAlignment="1">
      <alignment horizontal="center" vertical="top" wrapText="1"/>
    </xf>
    <xf numFmtId="0" fontId="9" fillId="2" borderId="13" xfId="0" applyFont="1" applyFill="1" applyBorder="1" applyAlignment="1">
      <alignment horizontal="center"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9" xfId="0" applyFont="1" applyFill="1" applyBorder="1" applyAlignment="1">
      <alignment horizontal="center" wrapText="1"/>
    </xf>
    <xf numFmtId="0" fontId="0" fillId="0" borderId="11" xfId="0" applyBorder="1" applyAlignment="1">
      <alignment horizontal="center" wrapText="1"/>
    </xf>
    <xf numFmtId="0" fontId="8" fillId="5" borderId="5" xfId="0" applyFont="1" applyFill="1" applyBorder="1" applyAlignment="1">
      <alignment horizontal="center" vertical="top" wrapText="1"/>
    </xf>
    <xf numFmtId="0" fontId="8" fillId="5" borderId="2"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8" xfId="0" applyFont="1" applyFill="1" applyBorder="1" applyAlignment="1">
      <alignment horizontal="center" vertical="top" wrapText="1"/>
    </xf>
    <xf numFmtId="0" fontId="10" fillId="2" borderId="5" xfId="0" applyFont="1" applyFill="1" applyBorder="1" applyAlignment="1">
      <alignment horizontal="center"/>
    </xf>
    <xf numFmtId="0" fontId="10" fillId="2" borderId="2" xfId="0" applyFont="1" applyFill="1" applyBorder="1" applyAlignment="1">
      <alignment horizontal="center"/>
    </xf>
    <xf numFmtId="0" fontId="10" fillId="2" borderId="6" xfId="0" applyFont="1" applyFill="1" applyBorder="1" applyAlignment="1">
      <alignment horizontal="center"/>
    </xf>
    <xf numFmtId="0" fontId="9" fillId="0" borderId="11" xfId="0" quotePrefix="1" applyFont="1" applyFill="1" applyBorder="1" applyAlignment="1">
      <alignment horizontal="center"/>
    </xf>
    <xf numFmtId="0" fontId="9" fillId="0" borderId="1" xfId="0" quotePrefix="1" applyFont="1" applyFill="1" applyBorder="1" applyAlignment="1">
      <alignment horizontal="center"/>
    </xf>
    <xf numFmtId="0" fontId="9" fillId="0" borderId="12" xfId="0" quotePrefix="1" applyFont="1" applyFill="1" applyBorder="1" applyAlignment="1">
      <alignment horizontal="center"/>
    </xf>
    <xf numFmtId="0" fontId="10" fillId="2" borderId="4" xfId="0" applyFont="1" applyFill="1" applyBorder="1" applyAlignment="1">
      <alignment horizontal="center"/>
    </xf>
  </cellXfs>
  <cellStyles count="5">
    <cellStyle name="Hyperlink" xfId="2" builtinId="8"/>
    <cellStyle name="Normal" xfId="0" builtinId="0"/>
    <cellStyle name="Normal 2 3" xfId="3"/>
    <cellStyle name="Normal 5" xfId="4"/>
    <cellStyle name="Percent" xfId="1" builtin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sheep gross margin</a:t>
            </a:r>
          </a:p>
        </c:rich>
      </c:tx>
      <c:overlay val="0"/>
      <c:spPr>
        <a:noFill/>
        <a:ln w="25400" cmpd="dbl">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491447944007"/>
          <c:y val="0.21337962962962964"/>
          <c:w val="0.82564107611548554"/>
          <c:h val="0.61910761154855654"/>
        </c:manualLayout>
      </c:layout>
      <c:lineChart>
        <c:grouping val="standard"/>
        <c:varyColors val="0"/>
        <c:ser>
          <c:idx val="0"/>
          <c:order val="0"/>
          <c:tx>
            <c:strRef>
              <c:f>'Step 4'!$C$19</c:f>
              <c:strCache>
                <c:ptCount val="1"/>
                <c:pt idx="0">
                  <c:v>Footrot-free</c:v>
                </c:pt>
              </c:strCache>
            </c:strRef>
          </c:tx>
          <c:spPr>
            <a:ln w="28575" cap="rnd">
              <a:solidFill>
                <a:schemeClr val="accent1"/>
              </a:solidFill>
              <a:round/>
            </a:ln>
            <a:effectLst/>
          </c:spPr>
          <c:marker>
            <c:symbol val="none"/>
          </c:marker>
          <c:cat>
            <c:strRef>
              <c:f>'Step 4'!$B$20:$B$29</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'Step 4'!$C$20:$C$29</c:f>
              <c:numCache>
                <c:formatCode>#,##0_ ;[Red]\-#,##0\ </c:formatCode>
                <c:ptCount val="10"/>
                <c:pt idx="0">
                  <c:v>473.05</c:v>
                </c:pt>
                <c:pt idx="1">
                  <c:v>473.05</c:v>
                </c:pt>
                <c:pt idx="2">
                  <c:v>473.05</c:v>
                </c:pt>
                <c:pt idx="3">
                  <c:v>473.05</c:v>
                </c:pt>
                <c:pt idx="4">
                  <c:v>473.05</c:v>
                </c:pt>
                <c:pt idx="5">
                  <c:v>473.05</c:v>
                </c:pt>
                <c:pt idx="6">
                  <c:v>473.05</c:v>
                </c:pt>
                <c:pt idx="7">
                  <c:v>473.05</c:v>
                </c:pt>
                <c:pt idx="8">
                  <c:v>473.05</c:v>
                </c:pt>
                <c:pt idx="9">
                  <c:v>473.05</c:v>
                </c:pt>
              </c:numCache>
            </c:numRef>
          </c:val>
          <c:smooth val="0"/>
          <c:extLst>
            <c:ext xmlns:c16="http://schemas.microsoft.com/office/drawing/2014/chart" uri="{C3380CC4-5D6E-409C-BE32-E72D297353CC}">
              <c16:uniqueId val="{00000000-825F-41CF-9C21-8D8894ECDAA8}"/>
            </c:ext>
          </c:extLst>
        </c:ser>
        <c:ser>
          <c:idx val="1"/>
          <c:order val="1"/>
          <c:tx>
            <c:strRef>
              <c:f>'Step 4'!$D$19</c:f>
              <c:strCache>
                <c:ptCount val="1"/>
                <c:pt idx="0">
                  <c:v>Containment</c:v>
                </c:pt>
              </c:strCache>
            </c:strRef>
          </c:tx>
          <c:spPr>
            <a:ln w="28575" cap="rnd">
              <a:solidFill>
                <a:schemeClr val="accent2"/>
              </a:solidFill>
              <a:prstDash val="sysDot"/>
              <a:round/>
            </a:ln>
            <a:effectLst/>
          </c:spPr>
          <c:marker>
            <c:symbol val="none"/>
          </c:marker>
          <c:cat>
            <c:strRef>
              <c:f>'Step 4'!$B$20:$B$29</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'Step 4'!$D$20:$D$29</c:f>
              <c:numCache>
                <c:formatCode>#,##0_ ;[Red]\-#,##0\ </c:formatCode>
                <c:ptCount val="10"/>
                <c:pt idx="0">
                  <c:v>422.0078125</c:v>
                </c:pt>
                <c:pt idx="1">
                  <c:v>426.29460000000012</c:v>
                </c:pt>
                <c:pt idx="2">
                  <c:v>430.55321250000003</c:v>
                </c:pt>
                <c:pt idx="3">
                  <c:v>434.84365000000003</c:v>
                </c:pt>
                <c:pt idx="4">
                  <c:v>434.84365000000003</c:v>
                </c:pt>
                <c:pt idx="5">
                  <c:v>434.84365000000003</c:v>
                </c:pt>
                <c:pt idx="6">
                  <c:v>434.84365000000003</c:v>
                </c:pt>
                <c:pt idx="7">
                  <c:v>434.84365000000003</c:v>
                </c:pt>
                <c:pt idx="8">
                  <c:v>434.84365000000003</c:v>
                </c:pt>
                <c:pt idx="9">
                  <c:v>434.84365000000003</c:v>
                </c:pt>
              </c:numCache>
            </c:numRef>
          </c:val>
          <c:smooth val="0"/>
          <c:extLst>
            <c:ext xmlns:c16="http://schemas.microsoft.com/office/drawing/2014/chart" uri="{C3380CC4-5D6E-409C-BE32-E72D297353CC}">
              <c16:uniqueId val="{00000001-825F-41CF-9C21-8D8894ECDAA8}"/>
            </c:ext>
          </c:extLst>
        </c:ser>
        <c:ser>
          <c:idx val="2"/>
          <c:order val="2"/>
          <c:tx>
            <c:strRef>
              <c:f>'Step 4'!$E$19</c:f>
              <c:strCache>
                <c:ptCount val="1"/>
                <c:pt idx="0">
                  <c:v>Conventional eradication</c:v>
                </c:pt>
              </c:strCache>
            </c:strRef>
          </c:tx>
          <c:spPr>
            <a:ln w="22225" cap="rnd">
              <a:solidFill>
                <a:schemeClr val="accent3"/>
              </a:solidFill>
              <a:prstDash val="sysDash"/>
              <a:round/>
            </a:ln>
            <a:effectLst/>
          </c:spPr>
          <c:marker>
            <c:symbol val="none"/>
          </c:marker>
          <c:cat>
            <c:strRef>
              <c:f>'Step 4'!$B$20:$B$29</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'Step 4'!$E$20:$E$29</c:f>
              <c:numCache>
                <c:formatCode>#,##0_ ;[Red]\-#,##0\ </c:formatCode>
                <c:ptCount val="10"/>
                <c:pt idx="0">
                  <c:v>373.42281250000002</c:v>
                </c:pt>
                <c:pt idx="1">
                  <c:v>383.27501249999995</c:v>
                </c:pt>
                <c:pt idx="2">
                  <c:v>393.62473750000004</c:v>
                </c:pt>
                <c:pt idx="3">
                  <c:v>473.05</c:v>
                </c:pt>
                <c:pt idx="4">
                  <c:v>473.05</c:v>
                </c:pt>
                <c:pt idx="5">
                  <c:v>473.05</c:v>
                </c:pt>
                <c:pt idx="6">
                  <c:v>473.05</c:v>
                </c:pt>
                <c:pt idx="7">
                  <c:v>473.05</c:v>
                </c:pt>
                <c:pt idx="8">
                  <c:v>473.05</c:v>
                </c:pt>
                <c:pt idx="9">
                  <c:v>473.05</c:v>
                </c:pt>
              </c:numCache>
            </c:numRef>
          </c:val>
          <c:smooth val="0"/>
          <c:extLst>
            <c:ext xmlns:c16="http://schemas.microsoft.com/office/drawing/2014/chart" uri="{C3380CC4-5D6E-409C-BE32-E72D297353CC}">
              <c16:uniqueId val="{00000002-825F-41CF-9C21-8D8894ECDAA8}"/>
            </c:ext>
          </c:extLst>
        </c:ser>
        <c:ser>
          <c:idx val="3"/>
          <c:order val="3"/>
          <c:tx>
            <c:strRef>
              <c:f>'Step 4'!$F$19</c:f>
              <c:strCache>
                <c:ptCount val="1"/>
                <c:pt idx="0">
                  <c:v>Vaccine eradication</c:v>
                </c:pt>
              </c:strCache>
            </c:strRef>
          </c:tx>
          <c:spPr>
            <a:ln w="22225" cap="rnd">
              <a:solidFill>
                <a:schemeClr val="accent4"/>
              </a:solidFill>
              <a:prstDash val="dash"/>
              <a:round/>
            </a:ln>
            <a:effectLst/>
          </c:spPr>
          <c:marker>
            <c:symbol val="none"/>
          </c:marker>
          <c:cat>
            <c:strRef>
              <c:f>'Step 4'!$B$20:$B$29</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'Step 4'!$F$20:$F$29</c:f>
              <c:numCache>
                <c:formatCode>#,##0_ ;[Red]\-#,##0\ </c:formatCode>
                <c:ptCount val="10"/>
                <c:pt idx="0">
                  <c:v>324.9428125</c:v>
                </c:pt>
                <c:pt idx="1">
                  <c:v>412.64473750000002</c:v>
                </c:pt>
                <c:pt idx="2">
                  <c:v>473.05</c:v>
                </c:pt>
                <c:pt idx="3">
                  <c:v>473.05</c:v>
                </c:pt>
                <c:pt idx="4">
                  <c:v>473.05</c:v>
                </c:pt>
                <c:pt idx="5">
                  <c:v>473.05</c:v>
                </c:pt>
                <c:pt idx="6">
                  <c:v>473.05</c:v>
                </c:pt>
                <c:pt idx="7">
                  <c:v>473.05</c:v>
                </c:pt>
                <c:pt idx="8">
                  <c:v>473.05</c:v>
                </c:pt>
                <c:pt idx="9">
                  <c:v>473.05</c:v>
                </c:pt>
              </c:numCache>
            </c:numRef>
          </c:val>
          <c:smooth val="0"/>
          <c:extLst>
            <c:ext xmlns:c16="http://schemas.microsoft.com/office/drawing/2014/chart" uri="{C3380CC4-5D6E-409C-BE32-E72D297353CC}">
              <c16:uniqueId val="{00000003-825F-41CF-9C21-8D8894ECDAA8}"/>
            </c:ext>
          </c:extLst>
        </c:ser>
        <c:dLbls>
          <c:showLegendKey val="0"/>
          <c:showVal val="0"/>
          <c:showCatName val="0"/>
          <c:showSerName val="0"/>
          <c:showPercent val="0"/>
          <c:showBubbleSize val="0"/>
        </c:dLbls>
        <c:smooth val="0"/>
        <c:axId val="277231776"/>
        <c:axId val="277232168"/>
      </c:lineChart>
      <c:catAx>
        <c:axId val="27723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232168"/>
        <c:crosses val="autoZero"/>
        <c:auto val="1"/>
        <c:lblAlgn val="ctr"/>
        <c:lblOffset val="100"/>
        <c:noMultiLvlLbl val="0"/>
      </c:catAx>
      <c:valAx>
        <c:axId val="277232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231776"/>
        <c:crosses val="autoZero"/>
        <c:crossBetween val="between"/>
      </c:valAx>
      <c:spPr>
        <a:noFill/>
        <a:ln>
          <a:noFill/>
        </a:ln>
        <a:effectLst/>
      </c:spPr>
    </c:plotArea>
    <c:legend>
      <c:legendPos val="b"/>
      <c:layout>
        <c:manualLayout>
          <c:xMode val="edge"/>
          <c:yMode val="edge"/>
          <c:x val="0.24191535433070865"/>
          <c:y val="0.53941629389349588"/>
          <c:w val="0.60001202081361771"/>
          <c:h val="0.21179167457950515"/>
        </c:manualLayout>
      </c:layout>
      <c:overlay val="0"/>
      <c:spPr>
        <a:noFill/>
        <a:ln>
          <a:noFill/>
          <a:prstDash val="dash"/>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38100" cap="flat" cmpd="dbl" algn="ctr">
      <a:solidFill>
        <a:schemeClr val="accent4">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22360</xdr:colOff>
      <xdr:row>54</xdr:row>
      <xdr:rowOff>53661</xdr:rowOff>
    </xdr:from>
    <xdr:to>
      <xdr:col>4</xdr:col>
      <xdr:colOff>22360</xdr:colOff>
      <xdr:row>55</xdr:row>
      <xdr:rowOff>139521</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60" y="11005175"/>
          <a:ext cx="1059824" cy="28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1092200</xdr:colOff>
      <xdr:row>58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0998200"/>
          <a:ext cx="13335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47</xdr:row>
      <xdr:rowOff>0</xdr:rowOff>
    </xdr:from>
    <xdr:to>
      <xdr:col>4</xdr:col>
      <xdr:colOff>10583</xdr:colOff>
      <xdr:row>49</xdr:row>
      <xdr:rowOff>26341</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898" y="8872361"/>
          <a:ext cx="13335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149</xdr:row>
      <xdr:rowOff>0</xdr:rowOff>
    </xdr:from>
    <xdr:to>
      <xdr:col>2</xdr:col>
      <xdr:colOff>1001889</xdr:colOff>
      <xdr:row>151</xdr:row>
      <xdr:rowOff>31045</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89" y="29174722"/>
          <a:ext cx="13335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32</xdr:row>
      <xdr:rowOff>142875</xdr:rowOff>
    </xdr:from>
    <xdr:to>
      <xdr:col>5</xdr:col>
      <xdr:colOff>768350</xdr:colOff>
      <xdr:row>49</xdr:row>
      <xdr:rowOff>44450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86</xdr:row>
      <xdr:rowOff>72988</xdr:rowOff>
    </xdr:from>
    <xdr:to>
      <xdr:col>1</xdr:col>
      <xdr:colOff>1333500</xdr:colOff>
      <xdr:row>88</xdr:row>
      <xdr:rowOff>98388</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172" y="17042816"/>
          <a:ext cx="1333500" cy="361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8"/>
  <sheetViews>
    <sheetView showGridLines="0" tabSelected="1" topLeftCell="A48" zoomScale="142" zoomScaleNormal="142" workbookViewId="0">
      <selection activeCell="H3" sqref="H3"/>
    </sheetView>
  </sheetViews>
  <sheetFormatPr defaultRowHeight="12.6" x14ac:dyDescent="0.45"/>
  <cols>
    <col min="1" max="1" width="1.29296875" customWidth="1"/>
    <col min="2" max="2" width="2.29296875" customWidth="1"/>
    <col min="3" max="3" width="4.29296875" customWidth="1"/>
    <col min="5" max="5" width="15.5859375" customWidth="1"/>
    <col min="13" max="13" width="4.29296875" customWidth="1"/>
  </cols>
  <sheetData>
    <row r="1" spans="1:20" ht="6" customHeight="1" x14ac:dyDescent="0.6">
      <c r="A1" s="19"/>
      <c r="B1" s="19"/>
      <c r="C1" s="19"/>
      <c r="D1" s="19"/>
      <c r="E1" s="19"/>
      <c r="F1" s="19"/>
      <c r="G1" s="19"/>
      <c r="H1" s="19"/>
      <c r="I1" s="19"/>
      <c r="J1" s="19"/>
      <c r="K1" s="19"/>
      <c r="L1" s="19"/>
      <c r="M1" s="19"/>
      <c r="N1" s="19"/>
      <c r="O1" s="19"/>
      <c r="P1" s="19"/>
      <c r="Q1" s="19"/>
      <c r="R1" s="19"/>
      <c r="S1" s="19"/>
      <c r="T1" s="19"/>
    </row>
    <row r="2" spans="1:20" ht="18" customHeight="1" x14ac:dyDescent="0.7">
      <c r="A2" s="24" t="s">
        <v>103</v>
      </c>
      <c r="B2" s="165"/>
      <c r="C2" s="19"/>
      <c r="D2" s="19"/>
      <c r="E2" s="19"/>
      <c r="F2" s="19"/>
      <c r="G2" s="19"/>
      <c r="H2" s="284" t="s">
        <v>334</v>
      </c>
      <c r="I2" s="255"/>
      <c r="J2" s="19"/>
      <c r="K2" s="19"/>
      <c r="L2" s="19"/>
      <c r="M2" s="19"/>
      <c r="N2" s="19"/>
      <c r="O2" s="19"/>
      <c r="P2" s="19"/>
      <c r="Q2" s="19"/>
      <c r="R2" s="19"/>
      <c r="S2" s="19"/>
      <c r="T2" s="19"/>
    </row>
    <row r="3" spans="1:20" ht="5.2" customHeight="1" x14ac:dyDescent="0.7">
      <c r="A3" s="24"/>
      <c r="B3" s="23"/>
      <c r="C3" s="19"/>
      <c r="D3" s="19"/>
      <c r="E3" s="19"/>
      <c r="F3" s="19"/>
      <c r="G3" s="19"/>
      <c r="H3" s="19"/>
      <c r="I3" s="19"/>
      <c r="J3" s="19"/>
      <c r="K3" s="19"/>
      <c r="L3" s="19"/>
      <c r="M3" s="19"/>
      <c r="N3" s="19"/>
      <c r="O3" s="19"/>
      <c r="P3" s="19"/>
      <c r="Q3" s="19"/>
      <c r="R3" s="19"/>
      <c r="S3" s="19"/>
      <c r="T3" s="19"/>
    </row>
    <row r="4" spans="1:20" ht="15.7" customHeight="1" x14ac:dyDescent="0.7">
      <c r="A4" s="24"/>
      <c r="B4" s="23" t="s">
        <v>123</v>
      </c>
      <c r="C4" s="19"/>
      <c r="D4" s="19"/>
      <c r="E4" s="19"/>
      <c r="F4" s="19"/>
      <c r="G4" s="19"/>
      <c r="H4" s="19"/>
      <c r="I4" s="19"/>
      <c r="J4" s="19"/>
      <c r="K4" s="19"/>
      <c r="L4" s="19"/>
      <c r="M4" s="19"/>
      <c r="N4" s="19"/>
      <c r="O4" s="19"/>
      <c r="P4" s="19"/>
      <c r="Q4" s="19"/>
      <c r="R4" s="19"/>
      <c r="S4" s="19"/>
      <c r="T4" s="19"/>
    </row>
    <row r="5" spans="1:20" ht="15.7" customHeight="1" x14ac:dyDescent="0.7">
      <c r="A5" s="24"/>
      <c r="B5" s="23" t="s">
        <v>294</v>
      </c>
      <c r="C5" s="19"/>
      <c r="D5" s="19"/>
      <c r="E5" s="19"/>
      <c r="F5" s="19"/>
      <c r="G5" s="19"/>
      <c r="H5" s="19"/>
      <c r="I5" s="19"/>
      <c r="J5" s="19"/>
      <c r="K5" s="19"/>
      <c r="L5" s="19"/>
      <c r="M5" s="19"/>
      <c r="N5" s="19"/>
      <c r="O5" s="19"/>
      <c r="P5" s="19"/>
      <c r="Q5" s="19"/>
      <c r="R5" s="19"/>
      <c r="S5" s="19"/>
      <c r="T5" s="19"/>
    </row>
    <row r="6" spans="1:20" ht="15.7" customHeight="1" x14ac:dyDescent="0.7">
      <c r="A6" s="24"/>
      <c r="B6" s="23" t="s">
        <v>322</v>
      </c>
      <c r="C6" s="19"/>
      <c r="D6" s="19"/>
      <c r="E6" s="19"/>
      <c r="F6" s="19"/>
      <c r="G6" s="19"/>
      <c r="H6" s="19"/>
      <c r="I6" s="19"/>
      <c r="J6" s="19"/>
      <c r="K6" s="19"/>
      <c r="L6" s="19"/>
      <c r="M6" s="19"/>
      <c r="N6" s="19"/>
      <c r="O6" s="19"/>
      <c r="P6" s="19"/>
      <c r="Q6" s="19"/>
      <c r="R6" s="19"/>
      <c r="S6" s="19"/>
      <c r="T6" s="19"/>
    </row>
    <row r="7" spans="1:20" ht="7" customHeight="1" x14ac:dyDescent="0.6">
      <c r="B7" s="23"/>
      <c r="C7" s="19"/>
      <c r="D7" s="19"/>
      <c r="E7" s="19"/>
      <c r="F7" s="19"/>
      <c r="G7" s="19"/>
      <c r="H7" s="19"/>
      <c r="I7" s="19"/>
      <c r="J7" s="19"/>
      <c r="K7" s="19"/>
      <c r="L7" s="19"/>
      <c r="M7" s="19"/>
      <c r="N7" s="19"/>
      <c r="O7" s="19"/>
      <c r="P7" s="19"/>
      <c r="Q7" s="19"/>
      <c r="R7" s="19"/>
      <c r="S7" s="19"/>
      <c r="T7" s="19"/>
    </row>
    <row r="8" spans="1:20" ht="18.3" x14ac:dyDescent="0.7">
      <c r="A8" s="253" t="s">
        <v>288</v>
      </c>
      <c r="C8" s="19"/>
      <c r="D8" s="19"/>
      <c r="E8" s="19"/>
      <c r="F8" s="19"/>
      <c r="G8" s="19"/>
      <c r="H8" s="19"/>
      <c r="I8" s="19"/>
      <c r="J8" s="19"/>
      <c r="K8" s="19"/>
      <c r="L8" s="19"/>
      <c r="M8" s="19"/>
      <c r="N8" s="19"/>
      <c r="O8" s="19"/>
      <c r="P8" s="19"/>
      <c r="Q8" s="19"/>
      <c r="R8" s="19"/>
      <c r="S8" s="19"/>
      <c r="T8" s="19"/>
    </row>
    <row r="9" spans="1:20" ht="15.6" x14ac:dyDescent="0.6">
      <c r="A9" s="19"/>
      <c r="B9" s="19" t="s">
        <v>101</v>
      </c>
      <c r="D9" s="19"/>
      <c r="E9" s="19"/>
      <c r="F9" s="19"/>
      <c r="G9" s="19"/>
      <c r="H9" s="19"/>
      <c r="I9" s="19"/>
      <c r="J9" s="19"/>
      <c r="K9" s="19"/>
      <c r="L9" s="19"/>
      <c r="M9" s="19"/>
      <c r="N9" s="19"/>
      <c r="O9" s="19"/>
      <c r="P9" s="19"/>
      <c r="Q9" s="19"/>
      <c r="R9" s="19"/>
      <c r="S9" s="19"/>
      <c r="T9" s="19"/>
    </row>
    <row r="10" spans="1:20" ht="15.6" x14ac:dyDescent="0.6">
      <c r="A10" s="19"/>
      <c r="B10" s="19" t="s">
        <v>104</v>
      </c>
      <c r="D10" s="19"/>
      <c r="E10" s="19"/>
      <c r="F10" s="19"/>
      <c r="G10" s="19"/>
      <c r="H10" s="19"/>
      <c r="I10" s="19"/>
      <c r="J10" s="19"/>
      <c r="K10" s="19"/>
      <c r="L10" s="19"/>
      <c r="M10" s="19"/>
      <c r="N10" s="19"/>
      <c r="O10" s="19"/>
      <c r="P10" s="19"/>
      <c r="Q10" s="19"/>
      <c r="R10" s="19"/>
      <c r="S10" s="19"/>
      <c r="T10" s="19"/>
    </row>
    <row r="11" spans="1:20" ht="15.6" x14ac:dyDescent="0.6">
      <c r="A11" s="19"/>
      <c r="B11" s="19" t="s">
        <v>105</v>
      </c>
      <c r="D11" s="19"/>
      <c r="E11" s="19"/>
      <c r="F11" s="19"/>
      <c r="G11" s="19"/>
      <c r="H11" s="19"/>
      <c r="I11" s="19"/>
      <c r="J11" s="19"/>
      <c r="K11" s="19"/>
      <c r="L11" s="19"/>
      <c r="M11" s="19"/>
      <c r="N11" s="19"/>
      <c r="O11" s="19"/>
      <c r="P11" s="19"/>
      <c r="Q11" s="19"/>
      <c r="R11" s="19"/>
      <c r="S11" s="19"/>
      <c r="T11" s="19"/>
    </row>
    <row r="12" spans="1:20" ht="15.6" x14ac:dyDescent="0.6">
      <c r="A12" s="19"/>
      <c r="B12" s="19" t="s">
        <v>39</v>
      </c>
      <c r="D12" s="19"/>
      <c r="E12" s="19"/>
      <c r="F12" s="19"/>
      <c r="G12" s="19"/>
      <c r="H12" s="19"/>
      <c r="I12" s="19"/>
      <c r="J12" s="19"/>
      <c r="K12" s="19"/>
      <c r="L12" s="19"/>
      <c r="M12" s="19"/>
      <c r="N12" s="19"/>
      <c r="O12" s="19"/>
      <c r="P12" s="19"/>
      <c r="Q12" s="19"/>
      <c r="R12" s="19"/>
      <c r="S12" s="19"/>
      <c r="T12" s="19"/>
    </row>
    <row r="13" spans="1:20" ht="5.5" customHeight="1" x14ac:dyDescent="0.6">
      <c r="A13" s="19"/>
      <c r="B13" s="22"/>
      <c r="C13" s="19"/>
      <c r="D13" s="19"/>
      <c r="E13" s="19"/>
      <c r="F13" s="19"/>
      <c r="G13" s="19"/>
      <c r="H13" s="19"/>
      <c r="I13" s="19"/>
      <c r="J13" s="19"/>
      <c r="K13" s="19"/>
      <c r="L13" s="19"/>
      <c r="M13" s="19"/>
      <c r="N13" s="19"/>
      <c r="O13" s="19"/>
      <c r="P13" s="19"/>
      <c r="Q13" s="19"/>
      <c r="R13" s="19"/>
      <c r="S13" s="19"/>
      <c r="T13" s="19"/>
    </row>
    <row r="14" spans="1:20" ht="18.3" x14ac:dyDescent="0.7">
      <c r="A14" s="25" t="s">
        <v>160</v>
      </c>
      <c r="C14" s="19"/>
      <c r="D14" s="19"/>
      <c r="E14" s="19"/>
      <c r="F14" s="19"/>
      <c r="G14" s="19"/>
      <c r="H14" s="19"/>
      <c r="I14" s="19"/>
      <c r="J14" s="19"/>
      <c r="K14" s="19"/>
      <c r="L14" s="19"/>
      <c r="M14" s="19"/>
      <c r="N14" s="19"/>
      <c r="O14" s="19"/>
      <c r="P14" s="19"/>
      <c r="Q14" s="19"/>
      <c r="R14" s="19"/>
      <c r="S14" s="19"/>
      <c r="T14" s="19"/>
    </row>
    <row r="15" spans="1:20" ht="15.6" x14ac:dyDescent="0.6">
      <c r="A15" s="19"/>
      <c r="B15" s="19" t="s">
        <v>111</v>
      </c>
      <c r="C15" s="19"/>
      <c r="E15" s="19"/>
      <c r="F15" s="19"/>
      <c r="G15" s="19"/>
      <c r="H15" s="19"/>
      <c r="I15" s="19"/>
      <c r="J15" s="19"/>
      <c r="K15" s="19"/>
      <c r="L15" s="19"/>
      <c r="M15" s="19"/>
      <c r="N15" s="19"/>
      <c r="O15" s="19"/>
      <c r="P15" s="19"/>
      <c r="Q15" s="19"/>
      <c r="R15" s="19"/>
      <c r="S15" s="19"/>
      <c r="T15" s="19"/>
    </row>
    <row r="16" spans="1:20" ht="15.6" x14ac:dyDescent="0.6">
      <c r="A16" s="19"/>
      <c r="B16" s="19" t="s">
        <v>285</v>
      </c>
      <c r="C16" s="19"/>
      <c r="E16" s="19"/>
      <c r="F16" s="19"/>
      <c r="G16" s="19"/>
      <c r="H16" s="19"/>
      <c r="I16" s="19"/>
      <c r="J16" s="19"/>
      <c r="K16" s="19"/>
      <c r="L16" s="19"/>
      <c r="M16" s="19"/>
      <c r="N16" s="19"/>
      <c r="O16" s="19"/>
      <c r="P16" s="19"/>
      <c r="Q16" s="19"/>
      <c r="R16" s="19"/>
      <c r="S16" s="19"/>
      <c r="T16" s="19"/>
    </row>
    <row r="17" spans="1:20" ht="15.6" x14ac:dyDescent="0.6">
      <c r="A17" s="19"/>
      <c r="B17" s="22"/>
      <c r="C17" s="255" t="s">
        <v>236</v>
      </c>
      <c r="D17" s="19"/>
      <c r="E17" s="19"/>
      <c r="F17" s="19"/>
      <c r="G17" s="19"/>
      <c r="H17" s="19"/>
      <c r="I17" s="19"/>
      <c r="J17" s="19"/>
      <c r="K17" s="19"/>
      <c r="L17" s="19"/>
      <c r="M17" s="19"/>
      <c r="N17" s="19"/>
      <c r="O17" s="19"/>
      <c r="P17" s="19"/>
      <c r="Q17" s="19"/>
      <c r="R17" s="19"/>
      <c r="S17" s="19"/>
      <c r="T17" s="19"/>
    </row>
    <row r="18" spans="1:20" ht="15.6" x14ac:dyDescent="0.6">
      <c r="A18" s="19"/>
      <c r="B18" s="22"/>
      <c r="C18" s="19" t="s">
        <v>289</v>
      </c>
      <c r="D18" s="19"/>
      <c r="E18" s="19"/>
      <c r="F18" s="19"/>
      <c r="G18" s="19"/>
      <c r="H18" s="19"/>
      <c r="I18" s="19"/>
      <c r="J18" s="19"/>
      <c r="K18" s="19"/>
      <c r="L18" s="19"/>
      <c r="M18" s="19"/>
      <c r="N18" s="19"/>
      <c r="O18" s="19"/>
      <c r="P18" s="19"/>
      <c r="Q18" s="19"/>
      <c r="R18" s="19"/>
      <c r="S18" s="19"/>
      <c r="T18" s="19"/>
    </row>
    <row r="19" spans="1:20" ht="7.5" customHeight="1" x14ac:dyDescent="0.6">
      <c r="A19" s="19"/>
      <c r="B19" s="22"/>
      <c r="C19" s="146"/>
      <c r="D19" s="19"/>
      <c r="E19" s="19"/>
      <c r="F19" s="19"/>
      <c r="G19" s="19"/>
      <c r="H19" s="19"/>
      <c r="I19" s="19"/>
      <c r="J19" s="19"/>
      <c r="K19" s="19"/>
      <c r="L19" s="19"/>
      <c r="M19" s="19"/>
      <c r="N19" s="19"/>
      <c r="O19" s="19"/>
      <c r="P19" s="19"/>
      <c r="Q19" s="19"/>
      <c r="R19" s="19"/>
      <c r="S19" s="19"/>
      <c r="T19" s="19"/>
    </row>
    <row r="20" spans="1:20" ht="18.3" x14ac:dyDescent="0.7">
      <c r="A20" s="25" t="s">
        <v>161</v>
      </c>
      <c r="C20" s="19"/>
      <c r="D20" s="19"/>
      <c r="E20" s="19"/>
      <c r="F20" s="19"/>
      <c r="G20" s="19"/>
      <c r="H20" s="19"/>
      <c r="I20" s="19"/>
      <c r="J20" s="19"/>
      <c r="K20" s="19"/>
      <c r="L20" s="19"/>
      <c r="M20" s="19"/>
      <c r="N20" s="19"/>
      <c r="O20" s="19"/>
      <c r="P20" s="19"/>
      <c r="Q20" s="19"/>
      <c r="R20" s="19"/>
      <c r="S20" s="19"/>
      <c r="T20" s="19"/>
    </row>
    <row r="21" spans="1:20" ht="15.6" x14ac:dyDescent="0.6">
      <c r="A21" s="19"/>
      <c r="B21" s="19" t="s">
        <v>286</v>
      </c>
      <c r="C21" s="19"/>
      <c r="D21" s="19"/>
      <c r="E21" s="19"/>
      <c r="F21" s="19"/>
      <c r="G21" s="19"/>
      <c r="H21" s="19"/>
      <c r="I21" s="19"/>
      <c r="J21" s="19"/>
      <c r="K21" s="19"/>
      <c r="L21" s="19"/>
      <c r="M21" s="19"/>
      <c r="N21" s="19"/>
      <c r="O21" s="19"/>
      <c r="P21" s="19"/>
      <c r="Q21" s="19"/>
      <c r="R21" s="19"/>
      <c r="S21" s="19"/>
      <c r="T21" s="19"/>
    </row>
    <row r="22" spans="1:20" ht="15.6" x14ac:dyDescent="0.6">
      <c r="A22" s="19"/>
      <c r="B22" s="22"/>
      <c r="C22" s="19" t="s">
        <v>290</v>
      </c>
      <c r="D22" s="19"/>
      <c r="E22" s="19"/>
      <c r="F22" s="116" t="s">
        <v>153</v>
      </c>
      <c r="H22" s="19"/>
      <c r="I22" s="19"/>
      <c r="J22" s="19"/>
      <c r="K22" s="19"/>
      <c r="L22" s="19"/>
      <c r="M22" s="19"/>
      <c r="N22" s="19"/>
      <c r="O22" s="19"/>
      <c r="P22" s="19"/>
      <c r="Q22" s="19"/>
      <c r="R22" s="19"/>
      <c r="S22" s="19"/>
      <c r="T22" s="19"/>
    </row>
    <row r="23" spans="1:20" ht="15.6" x14ac:dyDescent="0.6">
      <c r="A23" s="19"/>
      <c r="B23" s="22"/>
      <c r="C23" s="19"/>
      <c r="D23" s="19"/>
      <c r="E23" s="19"/>
      <c r="F23" s="51" t="s">
        <v>113</v>
      </c>
      <c r="H23" s="19"/>
      <c r="I23" s="19"/>
      <c r="J23" s="19"/>
      <c r="K23" s="19"/>
      <c r="L23" s="19"/>
      <c r="M23" s="19"/>
      <c r="N23" s="19"/>
      <c r="O23" s="19"/>
      <c r="P23" s="19"/>
      <c r="Q23" s="19"/>
      <c r="R23" s="19"/>
      <c r="S23" s="19"/>
      <c r="T23" s="19"/>
    </row>
    <row r="24" spans="1:20" ht="15.6" x14ac:dyDescent="0.6">
      <c r="A24" s="19"/>
      <c r="B24" s="22"/>
      <c r="C24" s="19" t="s">
        <v>114</v>
      </c>
      <c r="D24" s="19"/>
      <c r="E24" s="19"/>
      <c r="F24" s="116" t="s">
        <v>154</v>
      </c>
      <c r="H24" s="19"/>
      <c r="I24" s="19"/>
      <c r="J24" s="19"/>
      <c r="K24" s="19"/>
      <c r="L24" s="19"/>
      <c r="M24" s="19"/>
      <c r="N24" s="19"/>
      <c r="O24" s="19"/>
      <c r="P24" s="19"/>
      <c r="Q24" s="19"/>
      <c r="R24" s="19"/>
      <c r="S24" s="19"/>
      <c r="T24" s="19"/>
    </row>
    <row r="25" spans="1:20" ht="15.6" x14ac:dyDescent="0.6">
      <c r="A25" s="19"/>
      <c r="B25" s="22"/>
      <c r="C25" s="19"/>
      <c r="D25" s="19"/>
      <c r="E25" s="19"/>
      <c r="F25" s="51" t="s">
        <v>117</v>
      </c>
      <c r="H25" s="19"/>
      <c r="I25" s="19"/>
      <c r="J25" s="19"/>
      <c r="K25" s="19"/>
      <c r="L25" s="19"/>
      <c r="M25" s="19"/>
      <c r="N25" s="19"/>
      <c r="O25" s="19"/>
      <c r="P25" s="19"/>
      <c r="Q25" s="19"/>
      <c r="R25" s="19"/>
      <c r="S25" s="19"/>
      <c r="T25" s="19"/>
    </row>
    <row r="26" spans="1:20" ht="15.6" x14ac:dyDescent="0.6">
      <c r="A26" s="19"/>
      <c r="B26" s="22"/>
      <c r="C26" s="19"/>
      <c r="D26" s="19"/>
      <c r="E26" s="19"/>
      <c r="F26" s="51" t="s">
        <v>115</v>
      </c>
      <c r="H26" s="19"/>
      <c r="I26" s="19"/>
      <c r="J26" s="19"/>
      <c r="K26" s="19"/>
      <c r="L26" s="19"/>
      <c r="M26" s="19"/>
      <c r="N26" s="19"/>
      <c r="O26" s="19"/>
      <c r="P26" s="19"/>
      <c r="Q26" s="19"/>
      <c r="R26" s="19"/>
      <c r="S26" s="19"/>
      <c r="T26" s="19"/>
    </row>
    <row r="27" spans="1:20" ht="15.6" x14ac:dyDescent="0.6">
      <c r="A27" s="19"/>
      <c r="B27" s="22"/>
      <c r="C27" s="19"/>
      <c r="D27" s="19"/>
      <c r="E27" s="19"/>
      <c r="F27" s="51" t="s">
        <v>120</v>
      </c>
      <c r="H27" s="19"/>
      <c r="I27" s="19"/>
      <c r="J27" s="19"/>
      <c r="K27" s="19"/>
      <c r="L27" s="19"/>
      <c r="M27" s="19"/>
      <c r="N27" s="19"/>
      <c r="O27" s="19"/>
      <c r="P27" s="19"/>
      <c r="Q27" s="19"/>
      <c r="R27" s="19"/>
      <c r="S27" s="19"/>
      <c r="T27" s="19"/>
    </row>
    <row r="28" spans="1:20" ht="15.6" x14ac:dyDescent="0.6">
      <c r="A28" s="19"/>
      <c r="B28" s="22"/>
      <c r="C28" s="19" t="s">
        <v>116</v>
      </c>
      <c r="D28" s="19"/>
      <c r="E28" s="19"/>
      <c r="F28" s="116" t="s">
        <v>155</v>
      </c>
      <c r="H28" s="19"/>
      <c r="I28" s="19"/>
      <c r="J28" s="19"/>
      <c r="K28" s="19"/>
      <c r="L28" s="19"/>
      <c r="M28" s="19"/>
      <c r="N28" s="19"/>
      <c r="O28" s="19"/>
      <c r="P28" s="19"/>
      <c r="Q28" s="19"/>
      <c r="R28" s="19"/>
      <c r="S28" s="19"/>
      <c r="T28" s="19"/>
    </row>
    <row r="29" spans="1:20" ht="15.6" x14ac:dyDescent="0.6">
      <c r="A29" s="19"/>
      <c r="B29" s="22"/>
      <c r="C29" s="19"/>
      <c r="D29" s="19"/>
      <c r="E29" s="19"/>
      <c r="F29" s="116" t="s">
        <v>118</v>
      </c>
      <c r="H29" s="19"/>
      <c r="I29" s="19"/>
      <c r="J29" s="19"/>
      <c r="K29" s="19"/>
      <c r="L29" s="19"/>
      <c r="M29" s="19"/>
      <c r="N29" s="19"/>
      <c r="O29" s="19"/>
      <c r="P29" s="19"/>
      <c r="Q29" s="19"/>
      <c r="R29" s="19"/>
      <c r="S29" s="19"/>
      <c r="T29" s="19"/>
    </row>
    <row r="30" spans="1:20" ht="6" customHeight="1" x14ac:dyDescent="0.6">
      <c r="A30" s="19"/>
      <c r="B30" s="22"/>
      <c r="C30" s="19"/>
      <c r="D30" s="19"/>
      <c r="E30" s="19"/>
      <c r="F30" s="19"/>
      <c r="G30" s="19"/>
      <c r="H30" s="19"/>
      <c r="I30" s="19"/>
      <c r="J30" s="19"/>
      <c r="K30" s="19"/>
      <c r="L30" s="19"/>
      <c r="M30" s="19"/>
      <c r="N30" s="19"/>
      <c r="O30" s="19"/>
      <c r="P30" s="19"/>
      <c r="Q30" s="19"/>
      <c r="R30" s="19"/>
      <c r="S30" s="19"/>
      <c r="T30" s="19"/>
    </row>
    <row r="31" spans="1:20" ht="18.3" x14ac:dyDescent="0.7">
      <c r="A31" s="25" t="s">
        <v>292</v>
      </c>
      <c r="C31" s="19"/>
      <c r="D31" s="19"/>
      <c r="E31" s="19"/>
      <c r="F31" s="19"/>
      <c r="G31" s="19"/>
      <c r="H31" s="19"/>
      <c r="I31" s="19"/>
      <c r="J31" s="19"/>
      <c r="K31" s="19"/>
      <c r="L31" s="19"/>
      <c r="M31" s="19"/>
      <c r="N31" s="19"/>
      <c r="O31" s="19"/>
      <c r="P31" s="19"/>
      <c r="Q31" s="19"/>
      <c r="R31" s="19"/>
      <c r="S31" s="19"/>
      <c r="T31" s="19"/>
    </row>
    <row r="32" spans="1:20" ht="15.6" x14ac:dyDescent="0.6">
      <c r="A32" s="19"/>
      <c r="B32" s="170" t="s">
        <v>119</v>
      </c>
      <c r="C32" s="19"/>
      <c r="D32" s="19"/>
      <c r="E32" s="19"/>
      <c r="F32" s="19"/>
      <c r="G32" s="19"/>
      <c r="H32" s="19"/>
      <c r="I32" s="19"/>
      <c r="J32" s="19"/>
      <c r="K32" s="19"/>
      <c r="L32" s="19"/>
      <c r="M32" s="19"/>
      <c r="N32" s="19"/>
      <c r="O32" s="19"/>
      <c r="P32" s="19"/>
      <c r="Q32" s="19"/>
      <c r="R32" s="19"/>
      <c r="S32" s="19"/>
      <c r="T32" s="19"/>
    </row>
    <row r="33" spans="1:20" ht="15.6" x14ac:dyDescent="0.6">
      <c r="A33" s="19"/>
      <c r="B33" s="170" t="s">
        <v>291</v>
      </c>
      <c r="C33" s="19"/>
      <c r="D33" s="19"/>
      <c r="E33" s="19"/>
      <c r="F33" s="19"/>
      <c r="G33" s="19"/>
      <c r="H33" s="19"/>
      <c r="I33" s="19"/>
      <c r="J33" s="19"/>
      <c r="K33" s="19"/>
      <c r="L33" s="19"/>
      <c r="M33" s="19"/>
      <c r="N33" s="19"/>
      <c r="O33" s="19"/>
      <c r="P33" s="19"/>
      <c r="Q33" s="19"/>
      <c r="R33" s="19"/>
      <c r="S33" s="19"/>
      <c r="T33" s="19"/>
    </row>
    <row r="34" spans="1:20" ht="15.6" x14ac:dyDescent="0.6">
      <c r="A34" s="19"/>
      <c r="B34" s="170" t="s">
        <v>121</v>
      </c>
      <c r="C34" s="19"/>
      <c r="D34" s="19"/>
      <c r="E34" s="19"/>
      <c r="F34" s="19"/>
      <c r="G34" s="19"/>
      <c r="H34" s="19"/>
      <c r="I34" s="19"/>
      <c r="J34" s="19"/>
      <c r="K34" s="19"/>
      <c r="L34" s="19"/>
      <c r="M34" s="19"/>
      <c r="N34" s="19"/>
      <c r="O34" s="19"/>
      <c r="P34" s="19"/>
      <c r="Q34" s="19"/>
      <c r="R34" s="19"/>
      <c r="S34" s="19"/>
      <c r="T34" s="19"/>
    </row>
    <row r="35" spans="1:20" ht="15.6" x14ac:dyDescent="0.6">
      <c r="A35" s="19"/>
      <c r="B35" s="170" t="s">
        <v>122</v>
      </c>
      <c r="C35" s="19"/>
      <c r="D35" s="19"/>
      <c r="E35" s="19"/>
      <c r="F35" s="19"/>
      <c r="G35" s="19"/>
      <c r="H35" s="19"/>
      <c r="I35" s="19"/>
      <c r="J35" s="19"/>
      <c r="K35" s="19"/>
      <c r="L35" s="19"/>
      <c r="M35" s="19"/>
      <c r="N35" s="19"/>
      <c r="O35" s="19"/>
      <c r="P35" s="19"/>
      <c r="Q35" s="19"/>
      <c r="R35" s="19"/>
      <c r="S35" s="19"/>
      <c r="T35" s="19"/>
    </row>
    <row r="36" spans="1:20" ht="6.55" customHeight="1" x14ac:dyDescent="0.6">
      <c r="A36" s="19"/>
      <c r="B36" s="170"/>
      <c r="C36" s="19"/>
      <c r="D36" s="19"/>
      <c r="E36" s="19"/>
      <c r="F36" s="19"/>
      <c r="G36" s="19"/>
      <c r="H36" s="19"/>
      <c r="I36" s="19"/>
      <c r="J36" s="19"/>
      <c r="K36" s="19"/>
      <c r="L36" s="19"/>
      <c r="M36" s="19"/>
      <c r="N36" s="19"/>
      <c r="O36" s="19"/>
      <c r="P36" s="19"/>
      <c r="Q36" s="19"/>
      <c r="R36" s="19"/>
      <c r="S36" s="19"/>
      <c r="T36" s="19"/>
    </row>
    <row r="37" spans="1:20" ht="20.399999999999999" x14ac:dyDescent="0.75">
      <c r="A37" s="313" t="s">
        <v>159</v>
      </c>
      <c r="C37" s="19"/>
      <c r="D37" s="19"/>
      <c r="E37" s="19"/>
      <c r="F37" s="19"/>
      <c r="G37" s="19"/>
      <c r="H37" s="19"/>
      <c r="I37" s="19"/>
      <c r="J37" s="19"/>
      <c r="K37" s="19"/>
      <c r="L37" s="19"/>
      <c r="M37" s="19"/>
      <c r="N37" s="19"/>
      <c r="O37" s="19"/>
      <c r="P37" s="19"/>
      <c r="Q37" s="19"/>
      <c r="R37" s="19"/>
      <c r="S37" s="19"/>
      <c r="T37" s="19"/>
    </row>
    <row r="38" spans="1:20" ht="15.6" x14ac:dyDescent="0.6">
      <c r="A38" s="19"/>
      <c r="B38" s="119" t="s">
        <v>102</v>
      </c>
      <c r="C38" s="166"/>
      <c r="D38" s="166"/>
      <c r="E38" s="166"/>
      <c r="F38" s="166"/>
      <c r="G38" s="166"/>
      <c r="H38" s="166"/>
      <c r="I38" s="166"/>
      <c r="J38" s="166"/>
      <c r="K38" s="166"/>
      <c r="L38" s="167"/>
      <c r="M38" s="19"/>
      <c r="N38" s="19"/>
      <c r="O38" s="19"/>
      <c r="P38" s="19"/>
      <c r="Q38" s="19"/>
      <c r="R38" s="19"/>
      <c r="S38" s="19"/>
      <c r="T38" s="19"/>
    </row>
    <row r="39" spans="1:20" ht="15.6" x14ac:dyDescent="0.6">
      <c r="A39" s="19"/>
      <c r="B39" s="19" t="s">
        <v>293</v>
      </c>
      <c r="C39" s="19"/>
      <c r="D39" s="19"/>
      <c r="E39" s="19"/>
      <c r="F39" s="19"/>
      <c r="G39" s="19"/>
      <c r="H39" s="19"/>
      <c r="I39" s="19"/>
      <c r="J39" s="19"/>
      <c r="K39" s="19"/>
      <c r="L39" s="19"/>
      <c r="M39" s="19"/>
      <c r="N39" s="19"/>
      <c r="O39" s="19"/>
      <c r="P39" s="19"/>
      <c r="Q39" s="19"/>
      <c r="R39" s="19"/>
      <c r="S39" s="19"/>
      <c r="T39" s="19"/>
    </row>
    <row r="40" spans="1:20" ht="5.5" customHeight="1" x14ac:dyDescent="0.6">
      <c r="A40" s="19"/>
      <c r="B40" s="19"/>
      <c r="C40" s="19"/>
      <c r="D40" s="19"/>
      <c r="E40" s="19"/>
      <c r="F40" s="19"/>
      <c r="G40" s="19"/>
      <c r="H40" s="19"/>
      <c r="I40" s="19"/>
      <c r="J40" s="19"/>
      <c r="K40" s="19"/>
      <c r="L40" s="19"/>
      <c r="M40" s="19"/>
      <c r="N40" s="19"/>
      <c r="O40" s="19"/>
      <c r="P40" s="19"/>
      <c r="Q40" s="19"/>
      <c r="R40" s="19"/>
      <c r="S40" s="19"/>
      <c r="T40" s="19"/>
    </row>
    <row r="41" spans="1:20" ht="15.6" x14ac:dyDescent="0.6">
      <c r="A41" s="368" t="s">
        <v>295</v>
      </c>
      <c r="B41" s="369"/>
      <c r="C41" s="369"/>
      <c r="D41" s="369"/>
      <c r="E41" s="369"/>
      <c r="F41" s="369"/>
      <c r="G41" s="369"/>
      <c r="H41" s="369"/>
      <c r="I41" s="369"/>
      <c r="J41" s="369"/>
      <c r="K41" s="369"/>
      <c r="L41" s="19"/>
      <c r="M41" s="19"/>
      <c r="N41" s="19"/>
      <c r="O41" s="19"/>
      <c r="P41" s="19"/>
      <c r="Q41" s="19"/>
      <c r="R41" s="19"/>
      <c r="S41" s="19"/>
      <c r="T41" s="19"/>
    </row>
    <row r="42" spans="1:20" ht="15.6" x14ac:dyDescent="0.6">
      <c r="A42" s="382" t="s">
        <v>296</v>
      </c>
      <c r="B42" s="382"/>
      <c r="C42" s="382"/>
      <c r="D42" s="382"/>
      <c r="E42" s="382"/>
      <c r="F42" s="382"/>
      <c r="G42" s="382"/>
      <c r="H42" s="382"/>
      <c r="I42" s="382"/>
      <c r="J42" s="382"/>
      <c r="K42" s="369"/>
      <c r="L42" s="19"/>
      <c r="M42" s="19"/>
      <c r="N42" s="19"/>
      <c r="O42" s="19"/>
      <c r="P42" s="19"/>
      <c r="Q42" s="19"/>
      <c r="R42" s="19"/>
      <c r="S42" s="19"/>
      <c r="T42" s="19"/>
    </row>
    <row r="43" spans="1:20" ht="6" customHeight="1" x14ac:dyDescent="0.6">
      <c r="A43" s="369"/>
      <c r="B43" s="369"/>
      <c r="C43" s="369"/>
      <c r="D43" s="369"/>
      <c r="E43" s="369"/>
      <c r="F43" s="369"/>
      <c r="G43" s="369"/>
      <c r="H43" s="369"/>
      <c r="I43" s="369"/>
      <c r="J43" s="369"/>
      <c r="K43" s="369"/>
      <c r="L43" s="19"/>
      <c r="M43" s="19"/>
      <c r="N43" s="19"/>
      <c r="O43" s="19"/>
      <c r="P43" s="19"/>
      <c r="Q43" s="19"/>
      <c r="R43" s="19"/>
      <c r="S43" s="19"/>
      <c r="T43" s="19"/>
    </row>
    <row r="44" spans="1:20" ht="39" customHeight="1" x14ac:dyDescent="0.6">
      <c r="A44" s="384" t="s">
        <v>301</v>
      </c>
      <c r="B44" s="384"/>
      <c r="C44" s="384"/>
      <c r="D44" s="384"/>
      <c r="E44" s="384"/>
      <c r="F44" s="384"/>
      <c r="G44" s="384"/>
      <c r="H44" s="384"/>
      <c r="I44" s="384"/>
      <c r="J44" s="384"/>
      <c r="K44" s="384"/>
      <c r="L44" s="384"/>
      <c r="M44" s="19"/>
      <c r="N44" s="19"/>
      <c r="O44" s="19"/>
      <c r="P44" s="19"/>
      <c r="Q44" s="19"/>
      <c r="R44" s="19"/>
      <c r="S44" s="19"/>
      <c r="T44" s="19"/>
    </row>
    <row r="45" spans="1:20" ht="6.55" customHeight="1" x14ac:dyDescent="0.6">
      <c r="A45" s="369"/>
      <c r="B45" s="369"/>
      <c r="C45" s="369"/>
      <c r="D45" s="369"/>
      <c r="E45" s="369"/>
      <c r="F45" s="369"/>
      <c r="G45" s="369"/>
      <c r="H45" s="369"/>
      <c r="I45" s="369"/>
      <c r="J45" s="369"/>
      <c r="K45" s="369"/>
      <c r="L45" s="19"/>
      <c r="M45" s="19"/>
      <c r="N45" s="19"/>
      <c r="O45" s="19"/>
      <c r="P45" s="19"/>
      <c r="Q45" s="19"/>
      <c r="R45" s="19"/>
      <c r="S45" s="19"/>
      <c r="T45" s="19"/>
    </row>
    <row r="46" spans="1:20" ht="30" customHeight="1" x14ac:dyDescent="0.6">
      <c r="A46" s="385" t="s">
        <v>297</v>
      </c>
      <c r="B46" s="385"/>
      <c r="C46" s="385"/>
      <c r="D46" s="385"/>
      <c r="E46" s="385"/>
      <c r="F46" s="385"/>
      <c r="G46" s="385"/>
      <c r="H46" s="385"/>
      <c r="I46" s="385"/>
      <c r="J46" s="385"/>
      <c r="K46" s="385"/>
      <c r="L46" s="385"/>
      <c r="M46" s="19"/>
      <c r="N46" s="19"/>
      <c r="O46" s="19"/>
      <c r="P46" s="19"/>
      <c r="Q46" s="19"/>
      <c r="R46" s="19"/>
      <c r="S46" s="19"/>
      <c r="T46" s="19"/>
    </row>
    <row r="47" spans="1:20" ht="8.0500000000000007" customHeight="1" x14ac:dyDescent="0.6">
      <c r="A47" s="369"/>
      <c r="B47" s="369"/>
      <c r="C47" s="369"/>
      <c r="D47" s="369"/>
      <c r="E47" s="369"/>
      <c r="F47" s="369"/>
      <c r="G47" s="369"/>
      <c r="H47" s="369"/>
      <c r="I47" s="369"/>
      <c r="J47" s="369"/>
      <c r="K47" s="369"/>
      <c r="L47" s="19"/>
      <c r="M47" s="19"/>
      <c r="N47" s="19"/>
      <c r="O47" s="19"/>
      <c r="P47" s="19"/>
      <c r="Q47" s="19"/>
      <c r="R47" s="19"/>
      <c r="S47" s="19"/>
      <c r="T47" s="19"/>
    </row>
    <row r="48" spans="1:20" ht="39.549999999999997" customHeight="1" x14ac:dyDescent="0.6">
      <c r="A48" s="384" t="s">
        <v>302</v>
      </c>
      <c r="B48" s="384"/>
      <c r="C48" s="384"/>
      <c r="D48" s="384"/>
      <c r="E48" s="384"/>
      <c r="F48" s="384"/>
      <c r="G48" s="384"/>
      <c r="H48" s="384"/>
      <c r="I48" s="384"/>
      <c r="J48" s="384"/>
      <c r="K48" s="384"/>
      <c r="L48" s="384"/>
      <c r="M48" s="19"/>
      <c r="N48" s="19"/>
      <c r="O48" s="19"/>
      <c r="P48" s="19"/>
      <c r="Q48" s="19"/>
      <c r="R48" s="19"/>
      <c r="S48" s="19"/>
      <c r="T48" s="19"/>
    </row>
    <row r="49" spans="1:20" ht="12.55" customHeight="1" x14ac:dyDescent="0.6">
      <c r="B49" s="370" t="s">
        <v>298</v>
      </c>
      <c r="C49" s="383" t="s">
        <v>303</v>
      </c>
      <c r="D49" s="383"/>
      <c r="E49" s="383"/>
      <c r="F49" s="383"/>
      <c r="G49" s="383"/>
      <c r="H49" s="383"/>
      <c r="I49" s="383"/>
      <c r="J49" s="383"/>
      <c r="K49" s="383"/>
      <c r="L49" s="371"/>
      <c r="M49" s="19"/>
      <c r="N49" s="19"/>
      <c r="O49" s="19"/>
      <c r="P49" s="19"/>
      <c r="Q49" s="19"/>
      <c r="R49" s="19"/>
      <c r="S49" s="19"/>
      <c r="T49" s="19"/>
    </row>
    <row r="50" spans="1:20" ht="25" customHeight="1" x14ac:dyDescent="0.6">
      <c r="B50" s="370" t="s">
        <v>298</v>
      </c>
      <c r="C50" s="383" t="s">
        <v>305</v>
      </c>
      <c r="D50" s="383"/>
      <c r="E50" s="383"/>
      <c r="F50" s="383"/>
      <c r="G50" s="383"/>
      <c r="H50" s="383"/>
      <c r="I50" s="383"/>
      <c r="J50" s="383"/>
      <c r="K50" s="383"/>
      <c r="L50" s="371"/>
      <c r="M50" s="19"/>
      <c r="N50" s="19"/>
      <c r="O50" s="19"/>
      <c r="P50" s="19"/>
      <c r="Q50" s="19"/>
      <c r="R50" s="19"/>
      <c r="S50" s="19"/>
      <c r="T50" s="19"/>
    </row>
    <row r="51" spans="1:20" ht="27" customHeight="1" x14ac:dyDescent="0.6">
      <c r="B51" s="370" t="s">
        <v>298</v>
      </c>
      <c r="C51" s="383" t="s">
        <v>306</v>
      </c>
      <c r="D51" s="383"/>
      <c r="E51" s="383"/>
      <c r="F51" s="383"/>
      <c r="G51" s="383"/>
      <c r="H51" s="383"/>
      <c r="I51" s="383"/>
      <c r="J51" s="383"/>
      <c r="K51" s="383"/>
      <c r="L51" s="371"/>
      <c r="M51" s="19"/>
      <c r="N51" s="19"/>
      <c r="O51" s="19"/>
      <c r="P51" s="19"/>
      <c r="Q51" s="19"/>
      <c r="R51" s="19"/>
      <c r="S51" s="19"/>
      <c r="T51" s="19"/>
    </row>
    <row r="52" spans="1:20" ht="13" customHeight="1" x14ac:dyDescent="0.6">
      <c r="B52" s="370" t="s">
        <v>298</v>
      </c>
      <c r="C52" s="383" t="s">
        <v>299</v>
      </c>
      <c r="D52" s="383"/>
      <c r="E52" s="383"/>
      <c r="F52" s="383"/>
      <c r="G52" s="383"/>
      <c r="H52" s="383"/>
      <c r="I52" s="383"/>
      <c r="J52" s="383"/>
      <c r="K52" s="383"/>
      <c r="L52" s="372"/>
      <c r="M52" s="19"/>
      <c r="N52" s="19"/>
      <c r="O52" s="19"/>
      <c r="P52" s="19"/>
      <c r="Q52" s="19"/>
      <c r="R52" s="19"/>
      <c r="S52" s="19"/>
      <c r="T52" s="19"/>
    </row>
    <row r="53" spans="1:20" ht="15.6" x14ac:dyDescent="0.6">
      <c r="A53" s="368" t="s">
        <v>300</v>
      </c>
      <c r="B53" s="369"/>
      <c r="C53" s="369"/>
      <c r="D53" s="369"/>
      <c r="E53" s="369"/>
      <c r="F53" s="369"/>
      <c r="G53" s="369"/>
      <c r="H53" s="369"/>
      <c r="I53" s="369"/>
      <c r="J53" s="369"/>
      <c r="K53" s="369"/>
      <c r="L53" s="19"/>
      <c r="M53" s="19"/>
      <c r="N53" s="19"/>
      <c r="O53" s="19"/>
      <c r="P53" s="19"/>
      <c r="Q53" s="19"/>
      <c r="R53" s="19"/>
      <c r="S53" s="19"/>
      <c r="T53" s="19"/>
    </row>
    <row r="54" spans="1:20" ht="17.5" customHeight="1" x14ac:dyDescent="0.6">
      <c r="A54" s="382" t="s">
        <v>304</v>
      </c>
      <c r="B54" s="382"/>
      <c r="C54" s="382"/>
      <c r="D54" s="382"/>
      <c r="E54" s="382"/>
      <c r="F54" s="382"/>
      <c r="G54" s="382"/>
      <c r="H54" s="382"/>
      <c r="I54" s="382"/>
      <c r="J54" s="380"/>
      <c r="K54" s="381"/>
      <c r="L54" s="19"/>
      <c r="M54" s="19"/>
      <c r="N54" s="19"/>
      <c r="O54" s="19"/>
      <c r="P54" s="19"/>
      <c r="Q54" s="19"/>
      <c r="R54" s="19"/>
      <c r="S54" s="19"/>
      <c r="T54" s="19"/>
    </row>
    <row r="55" spans="1:20" ht="15.6" x14ac:dyDescent="0.6">
      <c r="A55" s="369"/>
      <c r="B55" s="369"/>
      <c r="C55" s="369"/>
      <c r="D55" s="369"/>
      <c r="E55" s="369"/>
      <c r="F55" s="369"/>
      <c r="G55" s="369"/>
      <c r="H55" s="369"/>
      <c r="I55" s="369"/>
      <c r="J55" s="369"/>
      <c r="K55" s="369"/>
      <c r="L55" s="19"/>
      <c r="M55" s="19"/>
      <c r="N55" s="19"/>
      <c r="O55" s="19"/>
      <c r="P55" s="19"/>
      <c r="Q55" s="19"/>
      <c r="R55" s="19"/>
      <c r="S55" s="19"/>
      <c r="T55" s="19"/>
    </row>
    <row r="56" spans="1:20" ht="15.6" x14ac:dyDescent="0.6">
      <c r="A56" s="379"/>
      <c r="B56" s="380"/>
      <c r="C56" s="380"/>
      <c r="D56" s="380"/>
      <c r="E56" s="380"/>
      <c r="F56" s="380"/>
      <c r="G56" s="380"/>
      <c r="H56" s="380"/>
      <c r="I56" s="380"/>
      <c r="J56" s="380"/>
      <c r="K56" s="381"/>
      <c r="L56" s="19"/>
      <c r="M56" s="19"/>
      <c r="N56" s="19"/>
      <c r="O56" s="19"/>
      <c r="P56" s="19"/>
      <c r="Q56" s="19"/>
      <c r="R56" s="19"/>
      <c r="S56" s="19"/>
      <c r="T56" s="19"/>
    </row>
    <row r="57" spans="1:20" ht="15.6" x14ac:dyDescent="0.6">
      <c r="A57" s="369"/>
      <c r="B57" s="369"/>
      <c r="C57" s="369"/>
      <c r="D57" s="369"/>
      <c r="E57" s="369"/>
      <c r="F57" s="369"/>
      <c r="G57" s="369"/>
      <c r="H57" s="369"/>
      <c r="I57" s="369"/>
      <c r="J57" s="369"/>
      <c r="K57" s="369"/>
      <c r="L57" s="19"/>
      <c r="M57" s="19"/>
      <c r="N57" s="19"/>
      <c r="O57" s="19"/>
      <c r="P57" s="19"/>
      <c r="Q57" s="19"/>
      <c r="R57" s="19"/>
      <c r="S57" s="19"/>
      <c r="T57" s="19"/>
    </row>
    <row r="58" spans="1:20" ht="15.6" x14ac:dyDescent="0.6">
      <c r="A58" s="382"/>
      <c r="B58" s="382"/>
      <c r="C58" s="382"/>
      <c r="D58" s="382"/>
      <c r="E58" s="382"/>
      <c r="F58" s="382"/>
      <c r="G58" s="382"/>
      <c r="H58" s="382"/>
      <c r="I58" s="382"/>
      <c r="J58" s="380"/>
      <c r="K58" s="381"/>
      <c r="L58" s="19"/>
      <c r="M58" s="19"/>
      <c r="N58" s="19"/>
      <c r="O58" s="19"/>
      <c r="P58" s="19"/>
      <c r="Q58" s="19"/>
      <c r="R58" s="19"/>
      <c r="S58" s="19"/>
      <c r="T58" s="19"/>
    </row>
    <row r="59" spans="1:20" ht="15.6" x14ac:dyDescent="0.6">
      <c r="A59" s="19"/>
      <c r="B59" s="19"/>
      <c r="C59" s="19"/>
      <c r="D59" s="19"/>
      <c r="E59" s="19"/>
      <c r="F59" s="19"/>
      <c r="G59" s="19"/>
      <c r="H59" s="19"/>
      <c r="I59" s="19"/>
      <c r="J59" s="19"/>
      <c r="K59" s="19"/>
      <c r="L59" s="19"/>
      <c r="M59" s="19"/>
      <c r="N59" s="19"/>
      <c r="O59" s="19"/>
      <c r="P59" s="19"/>
      <c r="Q59" s="19"/>
      <c r="R59" s="19"/>
      <c r="S59" s="19"/>
      <c r="T59" s="19"/>
    </row>
    <row r="60" spans="1:20" ht="15.6" x14ac:dyDescent="0.6">
      <c r="A60" s="19"/>
      <c r="B60" s="19"/>
      <c r="C60" s="19"/>
      <c r="D60" s="19"/>
      <c r="E60" s="19"/>
      <c r="F60" s="19"/>
      <c r="G60" s="19"/>
      <c r="H60" s="19"/>
      <c r="I60" s="19"/>
      <c r="J60" s="19"/>
      <c r="K60" s="19"/>
      <c r="L60" s="19"/>
      <c r="M60" s="19"/>
      <c r="N60" s="19"/>
      <c r="O60" s="19"/>
      <c r="P60" s="19"/>
      <c r="Q60" s="19"/>
      <c r="R60" s="19"/>
      <c r="S60" s="19"/>
      <c r="T60" s="19"/>
    </row>
    <row r="61" spans="1:20" ht="15.6" x14ac:dyDescent="0.6">
      <c r="A61" s="19"/>
      <c r="B61" s="19"/>
      <c r="C61" s="19"/>
      <c r="D61" s="19"/>
      <c r="E61" s="19"/>
      <c r="F61" s="19"/>
      <c r="G61" s="19"/>
      <c r="H61" s="19"/>
      <c r="I61" s="19"/>
      <c r="J61" s="19"/>
      <c r="K61" s="19"/>
      <c r="L61" s="19"/>
      <c r="M61" s="19"/>
      <c r="N61" s="19"/>
      <c r="O61" s="19"/>
      <c r="P61" s="19"/>
      <c r="Q61" s="19"/>
      <c r="R61" s="19"/>
      <c r="S61" s="19"/>
      <c r="T61" s="19"/>
    </row>
    <row r="62" spans="1:20" ht="15.6" x14ac:dyDescent="0.6">
      <c r="A62" s="19"/>
      <c r="B62" s="19"/>
      <c r="C62" s="19"/>
      <c r="D62" s="19"/>
      <c r="E62" s="19"/>
      <c r="F62" s="19"/>
      <c r="G62" s="19"/>
      <c r="H62" s="19"/>
      <c r="I62" s="19"/>
      <c r="J62" s="19"/>
      <c r="K62" s="19"/>
      <c r="L62" s="19"/>
      <c r="M62" s="19"/>
      <c r="N62" s="19"/>
      <c r="O62" s="19"/>
      <c r="P62" s="19"/>
      <c r="Q62" s="19"/>
      <c r="R62" s="19"/>
      <c r="S62" s="19"/>
      <c r="T62" s="19"/>
    </row>
    <row r="63" spans="1:20" ht="15.6" x14ac:dyDescent="0.6">
      <c r="A63" s="19"/>
      <c r="B63" s="19"/>
      <c r="C63" s="19"/>
      <c r="D63" s="19"/>
      <c r="E63" s="19"/>
      <c r="F63" s="19"/>
      <c r="G63" s="19"/>
      <c r="H63" s="19"/>
      <c r="I63" s="19"/>
      <c r="J63" s="19"/>
      <c r="K63" s="19"/>
      <c r="L63" s="19"/>
      <c r="M63" s="19"/>
      <c r="N63" s="19"/>
      <c r="O63" s="19"/>
      <c r="P63" s="19"/>
      <c r="Q63" s="19"/>
      <c r="R63" s="19"/>
      <c r="S63" s="19"/>
      <c r="T63" s="19"/>
    </row>
    <row r="64" spans="1:20" ht="15.6" x14ac:dyDescent="0.6">
      <c r="A64" s="19"/>
      <c r="B64" s="19"/>
      <c r="C64" s="19"/>
      <c r="D64" s="19"/>
      <c r="E64" s="19"/>
      <c r="F64" s="19"/>
      <c r="G64" s="19"/>
      <c r="H64" s="19"/>
      <c r="I64" s="19"/>
      <c r="J64" s="19"/>
      <c r="K64" s="19"/>
      <c r="L64" s="19"/>
      <c r="M64" s="19"/>
      <c r="N64" s="19"/>
      <c r="O64" s="19"/>
      <c r="P64" s="19"/>
      <c r="Q64" s="19"/>
      <c r="R64" s="19"/>
      <c r="S64" s="19"/>
      <c r="T64" s="19"/>
    </row>
    <row r="65" spans="1:20" ht="15.6" x14ac:dyDescent="0.6">
      <c r="A65" s="19"/>
      <c r="B65" s="19"/>
      <c r="C65" s="19"/>
      <c r="D65" s="19"/>
      <c r="E65" s="19"/>
      <c r="F65" s="19"/>
      <c r="G65" s="19"/>
      <c r="H65" s="19"/>
      <c r="I65" s="19"/>
      <c r="J65" s="19"/>
      <c r="K65" s="19"/>
      <c r="L65" s="19"/>
      <c r="M65" s="19"/>
      <c r="N65" s="19"/>
      <c r="O65" s="19"/>
      <c r="P65" s="19"/>
      <c r="Q65" s="19"/>
      <c r="R65" s="19"/>
      <c r="S65" s="19"/>
      <c r="T65" s="19"/>
    </row>
    <row r="66" spans="1:20" ht="15.6" x14ac:dyDescent="0.6">
      <c r="A66" s="19"/>
      <c r="B66" s="19"/>
      <c r="C66" s="19"/>
      <c r="D66" s="19"/>
      <c r="E66" s="19"/>
      <c r="F66" s="19"/>
      <c r="G66" s="19"/>
      <c r="H66" s="19"/>
      <c r="I66" s="19"/>
      <c r="J66" s="19"/>
      <c r="K66" s="19"/>
      <c r="L66" s="19"/>
      <c r="M66" s="19"/>
      <c r="N66" s="19"/>
      <c r="O66" s="19"/>
      <c r="P66" s="19"/>
      <c r="Q66" s="19"/>
      <c r="R66" s="19"/>
      <c r="S66" s="19"/>
      <c r="T66" s="19"/>
    </row>
    <row r="67" spans="1:20" ht="15.6" x14ac:dyDescent="0.6">
      <c r="A67" s="19"/>
      <c r="B67" s="19"/>
      <c r="C67" s="19"/>
      <c r="D67" s="19"/>
      <c r="E67" s="19"/>
      <c r="F67" s="19"/>
      <c r="G67" s="19"/>
      <c r="H67" s="19"/>
      <c r="I67" s="19"/>
      <c r="J67" s="19"/>
      <c r="K67" s="19"/>
      <c r="L67" s="19"/>
      <c r="M67" s="19"/>
      <c r="N67" s="19"/>
      <c r="O67" s="19"/>
      <c r="P67" s="19"/>
      <c r="Q67" s="19"/>
      <c r="R67" s="19"/>
      <c r="S67" s="19"/>
      <c r="T67" s="19"/>
    </row>
    <row r="68" spans="1:20" ht="15.6" x14ac:dyDescent="0.6">
      <c r="A68" s="19"/>
      <c r="B68" s="19"/>
      <c r="C68" s="19"/>
      <c r="D68" s="19"/>
      <c r="E68" s="19"/>
      <c r="F68" s="19"/>
      <c r="G68" s="19"/>
      <c r="H68" s="19"/>
      <c r="I68" s="19"/>
      <c r="J68" s="19"/>
      <c r="K68" s="19"/>
      <c r="L68" s="19"/>
      <c r="M68" s="19"/>
      <c r="N68" s="19"/>
      <c r="O68" s="19"/>
      <c r="P68" s="19"/>
      <c r="Q68" s="19"/>
      <c r="R68" s="19"/>
      <c r="S68" s="19"/>
      <c r="T68" s="19"/>
    </row>
    <row r="69" spans="1:20" ht="15.6" x14ac:dyDescent="0.6">
      <c r="A69" s="19"/>
      <c r="B69" s="19"/>
      <c r="C69" s="19"/>
      <c r="D69" s="19"/>
      <c r="E69" s="19"/>
      <c r="F69" s="19"/>
      <c r="G69" s="19"/>
      <c r="H69" s="19"/>
      <c r="I69" s="19"/>
      <c r="J69" s="19"/>
      <c r="K69" s="19"/>
      <c r="L69" s="19"/>
      <c r="M69" s="19"/>
      <c r="N69" s="19"/>
      <c r="O69" s="19"/>
      <c r="P69" s="19"/>
      <c r="Q69" s="19"/>
      <c r="R69" s="19"/>
      <c r="S69" s="19"/>
      <c r="T69" s="19"/>
    </row>
    <row r="70" spans="1:20" ht="15.6" x14ac:dyDescent="0.6">
      <c r="A70" s="19"/>
      <c r="B70" s="19"/>
      <c r="C70" s="19"/>
      <c r="D70" s="19"/>
      <c r="E70" s="19"/>
      <c r="F70" s="19"/>
      <c r="G70" s="19"/>
      <c r="H70" s="19"/>
      <c r="I70" s="19"/>
      <c r="J70" s="19"/>
      <c r="K70" s="19"/>
      <c r="L70" s="19"/>
      <c r="M70" s="19"/>
      <c r="N70" s="19"/>
      <c r="O70" s="19"/>
      <c r="P70" s="19"/>
      <c r="Q70" s="19"/>
      <c r="R70" s="19"/>
      <c r="S70" s="19"/>
      <c r="T70" s="19"/>
    </row>
    <row r="71" spans="1:20" ht="15.6" x14ac:dyDescent="0.6">
      <c r="A71" s="19"/>
      <c r="B71" s="19"/>
      <c r="C71" s="19"/>
      <c r="D71" s="19"/>
      <c r="E71" s="19"/>
      <c r="F71" s="19"/>
      <c r="G71" s="19"/>
      <c r="H71" s="19"/>
      <c r="I71" s="19"/>
      <c r="J71" s="19"/>
      <c r="K71" s="19"/>
      <c r="L71" s="19"/>
      <c r="M71" s="19"/>
      <c r="N71" s="19"/>
      <c r="O71" s="19"/>
      <c r="P71" s="19"/>
      <c r="Q71" s="19"/>
      <c r="R71" s="19"/>
      <c r="S71" s="19"/>
      <c r="T71" s="19"/>
    </row>
    <row r="72" spans="1:20" ht="15.6" x14ac:dyDescent="0.6">
      <c r="A72" s="19"/>
      <c r="B72" s="19"/>
      <c r="C72" s="19"/>
      <c r="D72" s="19"/>
      <c r="E72" s="19"/>
      <c r="F72" s="19"/>
      <c r="G72" s="19"/>
      <c r="H72" s="19"/>
      <c r="I72" s="19"/>
      <c r="J72" s="19"/>
      <c r="K72" s="19"/>
      <c r="L72" s="19"/>
      <c r="M72" s="19"/>
      <c r="N72" s="19"/>
      <c r="O72" s="19"/>
      <c r="P72" s="19"/>
      <c r="Q72" s="19"/>
      <c r="R72" s="19"/>
      <c r="S72" s="19"/>
      <c r="T72" s="19"/>
    </row>
    <row r="73" spans="1:20" ht="15.6" x14ac:dyDescent="0.6">
      <c r="A73" s="19"/>
      <c r="B73" s="19"/>
      <c r="C73" s="19"/>
      <c r="D73" s="19"/>
      <c r="E73" s="19"/>
      <c r="F73" s="19"/>
      <c r="G73" s="19"/>
      <c r="H73" s="19"/>
      <c r="I73" s="19"/>
      <c r="J73" s="19"/>
      <c r="K73" s="19"/>
      <c r="L73" s="19"/>
      <c r="M73" s="19"/>
      <c r="N73" s="19"/>
      <c r="O73" s="19"/>
      <c r="P73" s="19"/>
      <c r="Q73" s="19"/>
      <c r="R73" s="19"/>
      <c r="S73" s="19"/>
      <c r="T73" s="19"/>
    </row>
    <row r="74" spans="1:20" ht="15.6" x14ac:dyDescent="0.6">
      <c r="A74" s="19"/>
      <c r="B74" s="19"/>
      <c r="C74" s="19"/>
      <c r="D74" s="19"/>
      <c r="E74" s="19"/>
      <c r="F74" s="19"/>
      <c r="G74" s="19"/>
      <c r="H74" s="19"/>
      <c r="I74" s="19"/>
      <c r="J74" s="19"/>
      <c r="K74" s="19"/>
      <c r="L74" s="19"/>
      <c r="M74" s="19"/>
      <c r="N74" s="19"/>
      <c r="O74" s="19"/>
      <c r="P74" s="19"/>
      <c r="Q74" s="19"/>
      <c r="R74" s="19"/>
      <c r="S74" s="19"/>
      <c r="T74" s="19"/>
    </row>
    <row r="75" spans="1:20" ht="15.6" x14ac:dyDescent="0.6">
      <c r="A75" s="19"/>
      <c r="B75" s="19"/>
      <c r="C75" s="19"/>
      <c r="D75" s="19"/>
      <c r="E75" s="19"/>
      <c r="F75" s="19"/>
      <c r="G75" s="19"/>
      <c r="H75" s="19"/>
      <c r="I75" s="19"/>
      <c r="J75" s="19"/>
      <c r="K75" s="19"/>
      <c r="L75" s="19"/>
      <c r="M75" s="19"/>
      <c r="N75" s="19"/>
      <c r="O75" s="19"/>
      <c r="P75" s="19"/>
      <c r="Q75" s="19"/>
      <c r="R75" s="19"/>
      <c r="S75" s="19"/>
      <c r="T75" s="19"/>
    </row>
    <row r="76" spans="1:20" ht="15.6" x14ac:dyDescent="0.6">
      <c r="A76" s="19"/>
      <c r="B76" s="19"/>
      <c r="C76" s="19"/>
      <c r="D76" s="19"/>
      <c r="E76" s="19"/>
      <c r="F76" s="19"/>
      <c r="G76" s="19"/>
      <c r="H76" s="19"/>
      <c r="I76" s="19"/>
      <c r="J76" s="19"/>
      <c r="K76" s="19"/>
      <c r="L76" s="19"/>
      <c r="M76" s="19"/>
      <c r="N76" s="19"/>
      <c r="O76" s="19"/>
      <c r="P76" s="19"/>
      <c r="Q76" s="19"/>
      <c r="R76" s="19"/>
      <c r="S76" s="19"/>
      <c r="T76" s="19"/>
    </row>
    <row r="77" spans="1:20" ht="15.6" x14ac:dyDescent="0.6">
      <c r="A77" s="19"/>
      <c r="B77" s="19"/>
      <c r="C77" s="19"/>
      <c r="D77" s="19"/>
      <c r="E77" s="19"/>
      <c r="F77" s="19"/>
      <c r="G77" s="19"/>
      <c r="H77" s="19"/>
      <c r="I77" s="19"/>
      <c r="J77" s="19"/>
      <c r="K77" s="19"/>
      <c r="L77" s="19"/>
      <c r="M77" s="19"/>
      <c r="N77" s="19"/>
      <c r="O77" s="19"/>
      <c r="P77" s="19"/>
      <c r="Q77" s="19"/>
      <c r="R77" s="19"/>
      <c r="S77" s="19"/>
      <c r="T77" s="19"/>
    </row>
    <row r="78" spans="1:20" ht="15.6" x14ac:dyDescent="0.6">
      <c r="A78" s="19"/>
      <c r="B78" s="19"/>
      <c r="C78" s="19"/>
      <c r="D78" s="19"/>
      <c r="E78" s="19"/>
      <c r="F78" s="19"/>
      <c r="G78" s="19"/>
      <c r="H78" s="19"/>
      <c r="I78" s="19"/>
      <c r="J78" s="19"/>
      <c r="K78" s="19"/>
      <c r="L78" s="19"/>
      <c r="M78" s="19"/>
      <c r="N78" s="19"/>
      <c r="O78" s="19"/>
      <c r="P78" s="19"/>
      <c r="Q78" s="19"/>
      <c r="R78" s="19"/>
      <c r="S78" s="19"/>
      <c r="T78" s="19"/>
    </row>
    <row r="79" spans="1:20" ht="15.6" x14ac:dyDescent="0.6">
      <c r="A79" s="19"/>
      <c r="B79" s="19"/>
      <c r="C79" s="19"/>
      <c r="D79" s="19"/>
      <c r="E79" s="19"/>
      <c r="F79" s="19"/>
      <c r="G79" s="19"/>
      <c r="H79" s="19"/>
      <c r="I79" s="19"/>
      <c r="J79" s="19"/>
      <c r="K79" s="19"/>
      <c r="L79" s="19"/>
      <c r="M79" s="19"/>
      <c r="N79" s="19"/>
      <c r="O79" s="19"/>
      <c r="P79" s="19"/>
      <c r="Q79" s="19"/>
      <c r="R79" s="19"/>
      <c r="S79" s="19"/>
      <c r="T79" s="19"/>
    </row>
    <row r="80" spans="1:20" ht="15.6" x14ac:dyDescent="0.6">
      <c r="A80" s="19"/>
      <c r="B80" s="19"/>
      <c r="C80" s="19"/>
      <c r="D80" s="19"/>
      <c r="E80" s="19"/>
      <c r="F80" s="19"/>
      <c r="G80" s="19"/>
      <c r="H80" s="19"/>
      <c r="I80" s="19"/>
      <c r="J80" s="19"/>
      <c r="K80" s="19"/>
      <c r="L80" s="19"/>
      <c r="M80" s="19"/>
      <c r="N80" s="19"/>
      <c r="O80" s="19"/>
      <c r="P80" s="19"/>
      <c r="Q80" s="19"/>
      <c r="R80" s="19"/>
      <c r="S80" s="19"/>
      <c r="T80" s="19"/>
    </row>
    <row r="81" spans="1:20" ht="15.6" x14ac:dyDescent="0.6">
      <c r="A81" s="19"/>
      <c r="B81" s="19"/>
      <c r="C81" s="19"/>
      <c r="D81" s="19"/>
      <c r="E81" s="19"/>
      <c r="F81" s="19"/>
      <c r="G81" s="19"/>
      <c r="H81" s="19"/>
      <c r="I81" s="19"/>
      <c r="J81" s="19"/>
      <c r="K81" s="19"/>
      <c r="L81" s="19"/>
      <c r="M81" s="19"/>
      <c r="N81" s="19"/>
      <c r="O81" s="19"/>
      <c r="P81" s="19"/>
      <c r="Q81" s="19"/>
      <c r="R81" s="19"/>
      <c r="S81" s="19"/>
      <c r="T81" s="19"/>
    </row>
    <row r="82" spans="1:20" ht="15.6" x14ac:dyDescent="0.6">
      <c r="A82" s="19"/>
      <c r="B82" s="19"/>
      <c r="C82" s="19"/>
      <c r="D82" s="19"/>
      <c r="E82" s="19"/>
      <c r="F82" s="19"/>
      <c r="G82" s="19"/>
      <c r="H82" s="19"/>
      <c r="I82" s="19"/>
      <c r="J82" s="19"/>
      <c r="K82" s="19"/>
      <c r="L82" s="19"/>
      <c r="M82" s="19"/>
      <c r="N82" s="19"/>
      <c r="O82" s="19"/>
      <c r="P82" s="19"/>
      <c r="Q82" s="19"/>
      <c r="R82" s="19"/>
      <c r="S82" s="19"/>
      <c r="T82" s="19"/>
    </row>
    <row r="83" spans="1:20" ht="15.6" x14ac:dyDescent="0.6">
      <c r="A83" s="19"/>
      <c r="B83" s="19"/>
      <c r="C83" s="19"/>
      <c r="D83" s="19"/>
      <c r="E83" s="19"/>
      <c r="F83" s="19"/>
      <c r="G83" s="19"/>
      <c r="H83" s="19"/>
      <c r="I83" s="19"/>
      <c r="J83" s="19"/>
      <c r="K83" s="19"/>
      <c r="L83" s="19"/>
      <c r="M83" s="19"/>
      <c r="N83" s="19"/>
      <c r="O83" s="19"/>
      <c r="P83" s="19"/>
      <c r="Q83" s="19"/>
      <c r="R83" s="19"/>
      <c r="S83" s="19"/>
      <c r="T83" s="19"/>
    </row>
    <row r="84" spans="1:20" ht="15.6" x14ac:dyDescent="0.6">
      <c r="A84" s="19"/>
      <c r="B84" s="19"/>
      <c r="C84" s="19"/>
      <c r="D84" s="19"/>
      <c r="E84" s="19"/>
      <c r="F84" s="19"/>
      <c r="G84" s="19"/>
      <c r="H84" s="19"/>
      <c r="I84" s="19"/>
      <c r="J84" s="19"/>
      <c r="K84" s="19"/>
      <c r="L84" s="19"/>
      <c r="M84" s="19"/>
      <c r="N84" s="19"/>
      <c r="O84" s="19"/>
      <c r="P84" s="19"/>
      <c r="Q84" s="19"/>
      <c r="R84" s="19"/>
      <c r="S84" s="19"/>
      <c r="T84" s="19"/>
    </row>
    <row r="85" spans="1:20" ht="15.6" x14ac:dyDescent="0.6">
      <c r="A85" s="19"/>
      <c r="B85" s="19"/>
      <c r="C85" s="19"/>
      <c r="D85" s="19"/>
      <c r="E85" s="19"/>
      <c r="F85" s="19"/>
      <c r="G85" s="19"/>
      <c r="H85" s="19"/>
      <c r="I85" s="19"/>
      <c r="J85" s="19"/>
      <c r="K85" s="19"/>
      <c r="L85" s="19"/>
      <c r="M85" s="19"/>
      <c r="N85" s="19"/>
      <c r="O85" s="19"/>
      <c r="P85" s="19"/>
      <c r="Q85" s="19"/>
      <c r="R85" s="19"/>
      <c r="S85" s="19"/>
      <c r="T85" s="19"/>
    </row>
    <row r="86" spans="1:20" ht="15.6" x14ac:dyDescent="0.6">
      <c r="A86" s="19"/>
      <c r="B86" s="19"/>
      <c r="C86" s="19"/>
      <c r="D86" s="19"/>
      <c r="E86" s="19"/>
      <c r="F86" s="19"/>
      <c r="G86" s="19"/>
      <c r="H86" s="19"/>
      <c r="I86" s="19"/>
      <c r="J86" s="19"/>
      <c r="K86" s="19"/>
      <c r="L86" s="19"/>
      <c r="M86" s="19"/>
      <c r="N86" s="19"/>
      <c r="O86" s="19"/>
      <c r="P86" s="19"/>
      <c r="Q86" s="19"/>
      <c r="R86" s="19"/>
      <c r="S86" s="19"/>
      <c r="T86" s="19"/>
    </row>
    <row r="87" spans="1:20" ht="15.6" x14ac:dyDescent="0.6">
      <c r="A87" s="19"/>
      <c r="B87" s="19"/>
      <c r="C87" s="19"/>
      <c r="D87" s="19"/>
      <c r="E87" s="19"/>
      <c r="F87" s="19"/>
      <c r="G87" s="19"/>
      <c r="H87" s="19"/>
      <c r="I87" s="19"/>
      <c r="J87" s="19"/>
      <c r="K87" s="19"/>
      <c r="L87" s="19"/>
      <c r="M87" s="19"/>
      <c r="N87" s="19"/>
      <c r="O87" s="19"/>
      <c r="P87" s="19"/>
      <c r="Q87" s="19"/>
      <c r="R87" s="19"/>
      <c r="S87" s="19"/>
      <c r="T87" s="19"/>
    </row>
    <row r="88" spans="1:20" ht="15.6" x14ac:dyDescent="0.6">
      <c r="A88" s="19"/>
      <c r="B88" s="19"/>
      <c r="C88" s="19"/>
      <c r="D88" s="19"/>
      <c r="E88" s="19"/>
      <c r="F88" s="19"/>
      <c r="G88" s="19"/>
      <c r="H88" s="19"/>
      <c r="I88" s="19"/>
      <c r="J88" s="19"/>
      <c r="K88" s="19"/>
      <c r="L88" s="19"/>
      <c r="M88" s="19"/>
      <c r="N88" s="19"/>
      <c r="O88" s="19"/>
      <c r="P88" s="19"/>
      <c r="Q88" s="19"/>
      <c r="R88" s="19"/>
      <c r="S88" s="19"/>
      <c r="T88" s="19"/>
    </row>
    <row r="89" spans="1:20" ht="15.6" x14ac:dyDescent="0.6">
      <c r="A89" s="19"/>
      <c r="B89" s="19"/>
      <c r="C89" s="19"/>
      <c r="D89" s="19"/>
      <c r="E89" s="19"/>
      <c r="F89" s="19"/>
      <c r="G89" s="19"/>
      <c r="H89" s="19"/>
      <c r="I89" s="19"/>
      <c r="J89" s="19"/>
      <c r="K89" s="19"/>
      <c r="L89" s="19"/>
      <c r="M89" s="19"/>
      <c r="N89" s="19"/>
      <c r="O89" s="19"/>
      <c r="P89" s="19"/>
      <c r="Q89" s="19"/>
      <c r="R89" s="19"/>
      <c r="S89" s="19"/>
      <c r="T89" s="19"/>
    </row>
    <row r="90" spans="1:20" ht="15.6" x14ac:dyDescent="0.6">
      <c r="A90" s="19"/>
      <c r="B90" s="19"/>
      <c r="C90" s="19"/>
      <c r="D90" s="19"/>
      <c r="E90" s="19"/>
      <c r="F90" s="19"/>
      <c r="G90" s="19"/>
      <c r="H90" s="19"/>
      <c r="I90" s="19"/>
      <c r="J90" s="19"/>
      <c r="K90" s="19"/>
      <c r="L90" s="19"/>
      <c r="M90" s="19"/>
      <c r="N90" s="19"/>
      <c r="O90" s="19"/>
      <c r="P90" s="19"/>
      <c r="Q90" s="19"/>
      <c r="R90" s="19"/>
      <c r="S90" s="19"/>
      <c r="T90" s="19"/>
    </row>
    <row r="91" spans="1:20" ht="15.6" x14ac:dyDescent="0.6">
      <c r="A91" s="19"/>
      <c r="B91" s="19"/>
      <c r="C91" s="19"/>
      <c r="D91" s="19"/>
      <c r="E91" s="19"/>
      <c r="F91" s="19"/>
      <c r="G91" s="19"/>
      <c r="H91" s="19"/>
      <c r="I91" s="19"/>
      <c r="J91" s="19"/>
      <c r="K91" s="19"/>
      <c r="L91" s="19"/>
      <c r="M91" s="19"/>
      <c r="N91" s="19"/>
      <c r="O91" s="19"/>
      <c r="P91" s="19"/>
      <c r="Q91" s="19"/>
      <c r="R91" s="19"/>
      <c r="S91" s="19"/>
      <c r="T91" s="19"/>
    </row>
    <row r="92" spans="1:20" ht="15.6" x14ac:dyDescent="0.6">
      <c r="A92" s="19"/>
      <c r="B92" s="19"/>
      <c r="C92" s="19"/>
      <c r="D92" s="19"/>
      <c r="E92" s="19"/>
      <c r="F92" s="19"/>
      <c r="G92" s="19"/>
      <c r="H92" s="19"/>
      <c r="I92" s="19"/>
      <c r="J92" s="19"/>
      <c r="K92" s="19"/>
      <c r="L92" s="19"/>
      <c r="M92" s="19"/>
      <c r="N92" s="19"/>
      <c r="O92" s="19"/>
      <c r="P92" s="19"/>
      <c r="Q92" s="19"/>
      <c r="R92" s="19"/>
      <c r="S92" s="19"/>
      <c r="T92" s="19"/>
    </row>
    <row r="93" spans="1:20" ht="15.6" x14ac:dyDescent="0.6">
      <c r="A93" s="19"/>
      <c r="B93" s="19"/>
      <c r="C93" s="19"/>
      <c r="D93" s="19"/>
      <c r="E93" s="19"/>
      <c r="F93" s="19"/>
      <c r="G93" s="19"/>
      <c r="H93" s="19"/>
      <c r="I93" s="19"/>
      <c r="J93" s="19"/>
      <c r="K93" s="19"/>
      <c r="L93" s="19"/>
      <c r="M93" s="19"/>
      <c r="N93" s="19"/>
      <c r="O93" s="19"/>
      <c r="P93" s="19"/>
      <c r="Q93" s="19"/>
      <c r="R93" s="19"/>
      <c r="S93" s="19"/>
      <c r="T93" s="19"/>
    </row>
    <row r="94" spans="1:20" ht="15.6" x14ac:dyDescent="0.6">
      <c r="A94" s="19"/>
      <c r="B94" s="19"/>
      <c r="C94" s="19"/>
      <c r="D94" s="19"/>
      <c r="E94" s="19"/>
      <c r="F94" s="19"/>
      <c r="G94" s="19"/>
      <c r="H94" s="19"/>
      <c r="I94" s="19"/>
      <c r="J94" s="19"/>
      <c r="K94" s="19"/>
      <c r="L94" s="19"/>
      <c r="M94" s="19"/>
      <c r="N94" s="19"/>
      <c r="O94" s="19"/>
      <c r="P94" s="19"/>
      <c r="Q94" s="19"/>
      <c r="R94" s="19"/>
      <c r="S94" s="19"/>
      <c r="T94" s="19"/>
    </row>
    <row r="95" spans="1:20" ht="15.6" x14ac:dyDescent="0.6">
      <c r="A95" s="19"/>
      <c r="B95" s="19"/>
      <c r="C95" s="19"/>
      <c r="D95" s="19"/>
      <c r="E95" s="19"/>
      <c r="F95" s="19"/>
      <c r="G95" s="19"/>
      <c r="H95" s="19"/>
      <c r="I95" s="19"/>
      <c r="J95" s="19"/>
      <c r="K95" s="19"/>
      <c r="L95" s="19"/>
      <c r="M95" s="19"/>
      <c r="N95" s="19"/>
      <c r="O95" s="19"/>
      <c r="P95" s="19"/>
      <c r="Q95" s="19"/>
      <c r="R95" s="19"/>
      <c r="S95" s="19"/>
      <c r="T95" s="19"/>
    </row>
    <row r="96" spans="1:20" ht="15.6" x14ac:dyDescent="0.6">
      <c r="A96" s="19"/>
      <c r="B96" s="19"/>
      <c r="C96" s="19"/>
      <c r="D96" s="19"/>
      <c r="E96" s="19"/>
      <c r="F96" s="19"/>
      <c r="G96" s="19"/>
      <c r="H96" s="19"/>
      <c r="I96" s="19"/>
      <c r="J96" s="19"/>
      <c r="K96" s="19"/>
      <c r="L96" s="19"/>
      <c r="M96" s="19"/>
      <c r="N96" s="19"/>
      <c r="O96" s="19"/>
      <c r="P96" s="19"/>
      <c r="Q96" s="19"/>
      <c r="R96" s="19"/>
      <c r="S96" s="19"/>
      <c r="T96" s="19"/>
    </row>
    <row r="97" spans="1:20" ht="15.6" x14ac:dyDescent="0.6">
      <c r="A97" s="19"/>
      <c r="B97" s="19"/>
      <c r="C97" s="19"/>
      <c r="D97" s="19"/>
      <c r="E97" s="19"/>
      <c r="F97" s="19"/>
      <c r="G97" s="19"/>
      <c r="H97" s="19"/>
      <c r="I97" s="19"/>
      <c r="J97" s="19"/>
      <c r="K97" s="19"/>
      <c r="L97" s="19"/>
      <c r="M97" s="19"/>
      <c r="N97" s="19"/>
      <c r="O97" s="19"/>
      <c r="P97" s="19"/>
      <c r="Q97" s="19"/>
      <c r="R97" s="19"/>
      <c r="S97" s="19"/>
      <c r="T97" s="19"/>
    </row>
    <row r="98" spans="1:20" ht="15.6" x14ac:dyDescent="0.6">
      <c r="A98" s="19"/>
      <c r="B98" s="19"/>
      <c r="C98" s="19"/>
      <c r="D98" s="19"/>
      <c r="E98" s="19"/>
      <c r="F98" s="19"/>
      <c r="G98" s="19"/>
      <c r="H98" s="19"/>
      <c r="I98" s="19"/>
      <c r="J98" s="19"/>
      <c r="K98" s="19"/>
      <c r="L98" s="19"/>
      <c r="M98" s="19"/>
      <c r="N98" s="19"/>
      <c r="O98" s="19"/>
      <c r="P98" s="19"/>
      <c r="Q98" s="19"/>
      <c r="R98" s="19"/>
      <c r="S98" s="19"/>
      <c r="T98" s="19"/>
    </row>
    <row r="99" spans="1:20" ht="15.6" x14ac:dyDescent="0.6">
      <c r="A99" s="19"/>
      <c r="B99" s="19"/>
      <c r="C99" s="19"/>
      <c r="D99" s="19"/>
      <c r="E99" s="19"/>
      <c r="F99" s="19"/>
      <c r="G99" s="19"/>
      <c r="H99" s="19"/>
      <c r="I99" s="19"/>
      <c r="J99" s="19"/>
      <c r="K99" s="19"/>
      <c r="L99" s="19"/>
      <c r="M99" s="19"/>
      <c r="N99" s="19"/>
      <c r="O99" s="19"/>
      <c r="P99" s="19"/>
      <c r="Q99" s="19"/>
      <c r="R99" s="19"/>
      <c r="S99" s="19"/>
      <c r="T99" s="19"/>
    </row>
    <row r="100" spans="1:20" ht="15.6" x14ac:dyDescent="0.6">
      <c r="A100" s="19"/>
      <c r="B100" s="19"/>
      <c r="C100" s="19"/>
      <c r="D100" s="19"/>
      <c r="E100" s="19"/>
      <c r="F100" s="19"/>
      <c r="G100" s="19"/>
      <c r="H100" s="19"/>
      <c r="I100" s="19"/>
      <c r="J100" s="19"/>
      <c r="K100" s="19"/>
      <c r="L100" s="19"/>
      <c r="M100" s="19"/>
      <c r="N100" s="19"/>
      <c r="O100" s="19"/>
      <c r="P100" s="19"/>
      <c r="Q100" s="19"/>
      <c r="R100" s="19"/>
      <c r="S100" s="19"/>
      <c r="T100" s="19"/>
    </row>
    <row r="101" spans="1:20" ht="15.6" x14ac:dyDescent="0.6">
      <c r="A101" s="19"/>
      <c r="B101" s="19"/>
      <c r="C101" s="19"/>
      <c r="D101" s="19"/>
      <c r="E101" s="19"/>
      <c r="F101" s="19"/>
      <c r="G101" s="19"/>
      <c r="H101" s="19"/>
      <c r="I101" s="19"/>
      <c r="J101" s="19"/>
      <c r="K101" s="19"/>
      <c r="L101" s="19"/>
      <c r="M101" s="19"/>
      <c r="N101" s="19"/>
      <c r="O101" s="19"/>
      <c r="P101" s="19"/>
      <c r="Q101" s="19"/>
      <c r="R101" s="19"/>
      <c r="S101" s="19"/>
      <c r="T101" s="19"/>
    </row>
    <row r="102" spans="1:20" ht="15.6" x14ac:dyDescent="0.6">
      <c r="A102" s="19"/>
      <c r="B102" s="19"/>
      <c r="C102" s="19"/>
      <c r="D102" s="19"/>
      <c r="E102" s="19"/>
      <c r="F102" s="19"/>
      <c r="G102" s="19"/>
      <c r="H102" s="19"/>
      <c r="I102" s="19"/>
      <c r="J102" s="19"/>
      <c r="K102" s="19"/>
      <c r="L102" s="19"/>
      <c r="M102" s="19"/>
      <c r="N102" s="19"/>
      <c r="O102" s="19"/>
      <c r="P102" s="19"/>
      <c r="Q102" s="19"/>
      <c r="R102" s="19"/>
      <c r="S102" s="19"/>
      <c r="T102" s="19"/>
    </row>
    <row r="103" spans="1:20" ht="15.6" x14ac:dyDescent="0.6">
      <c r="A103" s="19"/>
      <c r="B103" s="19"/>
      <c r="C103" s="19"/>
      <c r="D103" s="19"/>
      <c r="E103" s="19"/>
      <c r="F103" s="19"/>
      <c r="G103" s="19"/>
      <c r="H103" s="19"/>
      <c r="I103" s="19"/>
      <c r="J103" s="19"/>
      <c r="K103" s="19"/>
      <c r="L103" s="19"/>
      <c r="M103" s="19"/>
      <c r="N103" s="19"/>
      <c r="O103" s="19"/>
      <c r="P103" s="19"/>
      <c r="Q103" s="19"/>
      <c r="R103" s="19"/>
      <c r="S103" s="19"/>
      <c r="T103" s="19"/>
    </row>
    <row r="104" spans="1:20" ht="15.6" x14ac:dyDescent="0.6">
      <c r="A104" s="19"/>
      <c r="B104" s="19"/>
      <c r="C104" s="19"/>
      <c r="D104" s="19"/>
      <c r="E104" s="19"/>
      <c r="F104" s="19"/>
      <c r="G104" s="19"/>
      <c r="H104" s="19"/>
      <c r="I104" s="19"/>
      <c r="J104" s="19"/>
      <c r="K104" s="19"/>
      <c r="L104" s="19"/>
      <c r="M104" s="19"/>
      <c r="N104" s="19"/>
      <c r="O104" s="19"/>
      <c r="P104" s="19"/>
      <c r="Q104" s="19"/>
      <c r="R104" s="19"/>
      <c r="S104" s="19"/>
      <c r="T104" s="19"/>
    </row>
    <row r="105" spans="1:20" ht="15.6" x14ac:dyDescent="0.6">
      <c r="A105" s="19"/>
      <c r="B105" s="19"/>
      <c r="C105" s="19"/>
      <c r="D105" s="19"/>
      <c r="E105" s="19"/>
      <c r="F105" s="19"/>
      <c r="G105" s="19"/>
      <c r="H105" s="19"/>
      <c r="I105" s="19"/>
      <c r="J105" s="19"/>
      <c r="K105" s="19"/>
      <c r="L105" s="19"/>
      <c r="M105" s="19"/>
      <c r="N105" s="19"/>
      <c r="O105" s="19"/>
      <c r="P105" s="19"/>
      <c r="Q105" s="19"/>
      <c r="R105" s="19"/>
      <c r="S105" s="19"/>
      <c r="T105" s="19"/>
    </row>
    <row r="106" spans="1:20" ht="15.6" x14ac:dyDescent="0.6">
      <c r="A106" s="19"/>
      <c r="B106" s="19"/>
      <c r="C106" s="19"/>
      <c r="D106" s="19"/>
      <c r="E106" s="19"/>
      <c r="F106" s="19"/>
      <c r="G106" s="19"/>
      <c r="H106" s="19"/>
      <c r="I106" s="19"/>
      <c r="J106" s="19"/>
      <c r="K106" s="19"/>
      <c r="L106" s="19"/>
      <c r="M106" s="19"/>
      <c r="N106" s="19"/>
      <c r="O106" s="19"/>
      <c r="P106" s="19"/>
      <c r="Q106" s="19"/>
      <c r="R106" s="19"/>
      <c r="S106" s="19"/>
      <c r="T106" s="19"/>
    </row>
    <row r="107" spans="1:20" ht="15.6" x14ac:dyDescent="0.6">
      <c r="A107" s="19"/>
      <c r="B107" s="19"/>
      <c r="C107" s="19"/>
      <c r="D107" s="19"/>
      <c r="E107" s="19"/>
      <c r="F107" s="19"/>
      <c r="G107" s="19"/>
      <c r="H107" s="19"/>
      <c r="I107" s="19"/>
      <c r="J107" s="19"/>
      <c r="K107" s="19"/>
      <c r="L107" s="19"/>
      <c r="M107" s="19"/>
      <c r="N107" s="19"/>
      <c r="O107" s="19"/>
      <c r="P107" s="19"/>
      <c r="Q107" s="19"/>
      <c r="R107" s="19"/>
      <c r="S107" s="19"/>
      <c r="T107" s="19"/>
    </row>
    <row r="108" spans="1:20" ht="15.6" x14ac:dyDescent="0.6">
      <c r="A108" s="19"/>
      <c r="B108" s="19"/>
      <c r="C108" s="19"/>
      <c r="D108" s="19"/>
      <c r="E108" s="19"/>
      <c r="F108" s="19"/>
      <c r="G108" s="19"/>
      <c r="H108" s="19"/>
      <c r="I108" s="19"/>
      <c r="J108" s="19"/>
      <c r="K108" s="19"/>
      <c r="L108" s="19"/>
      <c r="M108" s="19"/>
      <c r="N108" s="19"/>
      <c r="O108" s="19"/>
      <c r="P108" s="19"/>
      <c r="Q108" s="19"/>
      <c r="R108" s="19"/>
      <c r="S108" s="19"/>
      <c r="T108" s="19"/>
    </row>
    <row r="109" spans="1:20" ht="15.6" x14ac:dyDescent="0.6">
      <c r="A109" s="19"/>
      <c r="B109" s="19"/>
      <c r="C109" s="19"/>
      <c r="D109" s="19"/>
      <c r="E109" s="19"/>
      <c r="F109" s="19"/>
      <c r="G109" s="19"/>
      <c r="H109" s="19"/>
      <c r="I109" s="19"/>
      <c r="J109" s="19"/>
      <c r="K109" s="19"/>
      <c r="L109" s="19"/>
      <c r="M109" s="19"/>
      <c r="N109" s="19"/>
      <c r="O109" s="19"/>
      <c r="P109" s="19"/>
      <c r="Q109" s="19"/>
      <c r="R109" s="19"/>
      <c r="S109" s="19"/>
      <c r="T109" s="19"/>
    </row>
    <row r="110" spans="1:20" ht="15.6" x14ac:dyDescent="0.6">
      <c r="A110" s="19"/>
      <c r="B110" s="19"/>
      <c r="C110" s="19"/>
      <c r="D110" s="19"/>
      <c r="E110" s="19"/>
      <c r="F110" s="19"/>
      <c r="G110" s="19"/>
      <c r="H110" s="19"/>
      <c r="I110" s="19"/>
      <c r="J110" s="19"/>
      <c r="K110" s="19"/>
      <c r="L110" s="19"/>
      <c r="M110" s="19"/>
      <c r="N110" s="19"/>
      <c r="O110" s="19"/>
      <c r="P110" s="19"/>
      <c r="Q110" s="19"/>
      <c r="R110" s="19"/>
      <c r="S110" s="19"/>
      <c r="T110" s="19"/>
    </row>
    <row r="111" spans="1:20" ht="15.6" x14ac:dyDescent="0.6">
      <c r="A111" s="19"/>
      <c r="B111" s="19"/>
      <c r="C111" s="19"/>
      <c r="D111" s="19"/>
      <c r="E111" s="19"/>
      <c r="F111" s="19"/>
      <c r="G111" s="19"/>
      <c r="H111" s="19"/>
      <c r="I111" s="19"/>
      <c r="J111" s="19"/>
      <c r="K111" s="19"/>
      <c r="L111" s="19"/>
      <c r="M111" s="19"/>
      <c r="N111" s="19"/>
      <c r="O111" s="19"/>
      <c r="P111" s="19"/>
      <c r="Q111" s="19"/>
      <c r="R111" s="19"/>
      <c r="S111" s="19"/>
      <c r="T111" s="19"/>
    </row>
    <row r="112" spans="1:20" ht="15.6" x14ac:dyDescent="0.6">
      <c r="A112" s="19"/>
      <c r="B112" s="19"/>
      <c r="C112" s="19"/>
      <c r="D112" s="19"/>
      <c r="E112" s="19"/>
      <c r="F112" s="19"/>
      <c r="G112" s="19"/>
      <c r="H112" s="19"/>
      <c r="I112" s="19"/>
      <c r="J112" s="19"/>
      <c r="K112" s="19"/>
      <c r="L112" s="19"/>
      <c r="M112" s="19"/>
      <c r="N112" s="19"/>
      <c r="O112" s="19"/>
      <c r="P112" s="19"/>
      <c r="Q112" s="19"/>
      <c r="R112" s="19"/>
      <c r="S112" s="19"/>
      <c r="T112" s="19"/>
    </row>
    <row r="113" spans="1:20" ht="15.6" x14ac:dyDescent="0.6">
      <c r="A113" s="19"/>
      <c r="B113" s="19"/>
      <c r="C113" s="19"/>
      <c r="D113" s="19"/>
      <c r="E113" s="19"/>
      <c r="F113" s="19"/>
      <c r="G113" s="19"/>
      <c r="H113" s="19"/>
      <c r="I113" s="19"/>
      <c r="J113" s="19"/>
      <c r="K113" s="19"/>
      <c r="L113" s="19"/>
      <c r="M113" s="19"/>
      <c r="N113" s="19"/>
      <c r="O113" s="19"/>
      <c r="P113" s="19"/>
      <c r="Q113" s="19"/>
      <c r="R113" s="19"/>
      <c r="S113" s="19"/>
      <c r="T113" s="19"/>
    </row>
    <row r="114" spans="1:20" ht="15.6" x14ac:dyDescent="0.6">
      <c r="A114" s="19"/>
      <c r="B114" s="19"/>
      <c r="C114" s="19"/>
      <c r="D114" s="19"/>
      <c r="E114" s="19"/>
      <c r="F114" s="19"/>
      <c r="G114" s="19"/>
      <c r="H114" s="19"/>
      <c r="I114" s="19"/>
      <c r="J114" s="19"/>
      <c r="K114" s="19"/>
      <c r="L114" s="19"/>
      <c r="M114" s="19"/>
      <c r="N114" s="19"/>
      <c r="O114" s="19"/>
      <c r="P114" s="19"/>
      <c r="Q114" s="19"/>
      <c r="R114" s="19"/>
      <c r="S114" s="19"/>
      <c r="T114" s="19"/>
    </row>
    <row r="115" spans="1:20" ht="15.6" x14ac:dyDescent="0.6">
      <c r="A115" s="19"/>
      <c r="B115" s="19"/>
      <c r="C115" s="19"/>
      <c r="D115" s="19"/>
      <c r="E115" s="19"/>
      <c r="F115" s="19"/>
      <c r="G115" s="19"/>
      <c r="H115" s="19"/>
      <c r="I115" s="19"/>
      <c r="J115" s="19"/>
      <c r="K115" s="19"/>
      <c r="L115" s="19"/>
      <c r="M115" s="19"/>
      <c r="N115" s="19"/>
      <c r="O115" s="19"/>
      <c r="P115" s="19"/>
      <c r="Q115" s="19"/>
      <c r="R115" s="19"/>
      <c r="S115" s="19"/>
      <c r="T115" s="19"/>
    </row>
    <row r="116" spans="1:20" ht="15.6" x14ac:dyDescent="0.6">
      <c r="A116" s="19"/>
      <c r="B116" s="19"/>
      <c r="C116" s="19"/>
      <c r="D116" s="19"/>
      <c r="E116" s="19"/>
      <c r="F116" s="19"/>
      <c r="G116" s="19"/>
      <c r="H116" s="19"/>
      <c r="I116" s="19"/>
      <c r="J116" s="19"/>
      <c r="K116" s="19"/>
      <c r="L116" s="19"/>
      <c r="M116" s="19"/>
      <c r="N116" s="19"/>
      <c r="O116" s="19"/>
      <c r="P116" s="19"/>
      <c r="Q116" s="19"/>
      <c r="R116" s="19"/>
      <c r="S116" s="19"/>
      <c r="T116" s="19"/>
    </row>
    <row r="117" spans="1:20" ht="15.6" x14ac:dyDescent="0.6">
      <c r="A117" s="19"/>
      <c r="B117" s="19"/>
      <c r="C117" s="19"/>
      <c r="D117" s="19"/>
      <c r="E117" s="19"/>
      <c r="F117" s="19"/>
      <c r="G117" s="19"/>
      <c r="H117" s="19"/>
      <c r="I117" s="19"/>
      <c r="J117" s="19"/>
      <c r="K117" s="19"/>
      <c r="L117" s="19"/>
      <c r="M117" s="19"/>
      <c r="N117" s="19"/>
      <c r="O117" s="19"/>
      <c r="P117" s="19"/>
      <c r="Q117" s="19"/>
      <c r="R117" s="19"/>
      <c r="S117" s="19"/>
      <c r="T117" s="19"/>
    </row>
    <row r="118" spans="1:20" ht="15.6" x14ac:dyDescent="0.6">
      <c r="A118" s="19"/>
      <c r="B118" s="19"/>
      <c r="C118" s="19"/>
      <c r="D118" s="19"/>
      <c r="E118" s="19"/>
      <c r="F118" s="19"/>
      <c r="G118" s="19"/>
      <c r="H118" s="19"/>
      <c r="I118" s="19"/>
      <c r="J118" s="19"/>
      <c r="K118" s="19"/>
      <c r="L118" s="19"/>
      <c r="M118" s="19"/>
      <c r="N118" s="19"/>
      <c r="O118" s="19"/>
      <c r="P118" s="19"/>
      <c r="Q118" s="19"/>
      <c r="R118" s="19"/>
      <c r="S118" s="19"/>
      <c r="T118" s="19"/>
    </row>
    <row r="119" spans="1:20" ht="15.6" x14ac:dyDescent="0.6">
      <c r="A119" s="19"/>
      <c r="B119" s="19"/>
      <c r="C119" s="19"/>
      <c r="D119" s="19"/>
      <c r="E119" s="19"/>
      <c r="F119" s="19"/>
      <c r="G119" s="19"/>
      <c r="H119" s="19"/>
      <c r="I119" s="19"/>
      <c r="J119" s="19"/>
      <c r="K119" s="19"/>
      <c r="L119" s="19"/>
      <c r="M119" s="19"/>
      <c r="N119" s="19"/>
      <c r="O119" s="19"/>
      <c r="P119" s="19"/>
      <c r="Q119" s="19"/>
      <c r="R119" s="19"/>
      <c r="S119" s="19"/>
      <c r="T119" s="19"/>
    </row>
    <row r="120" spans="1:20" ht="15.6" x14ac:dyDescent="0.6">
      <c r="A120" s="19"/>
      <c r="B120" s="19"/>
      <c r="C120" s="19"/>
      <c r="D120" s="19"/>
      <c r="E120" s="19"/>
      <c r="F120" s="19"/>
      <c r="G120" s="19"/>
      <c r="H120" s="19"/>
      <c r="I120" s="19"/>
      <c r="J120" s="19"/>
      <c r="K120" s="19"/>
      <c r="L120" s="19"/>
      <c r="M120" s="19"/>
      <c r="N120" s="19"/>
      <c r="O120" s="19"/>
      <c r="P120" s="19"/>
      <c r="Q120" s="19"/>
      <c r="R120" s="19"/>
      <c r="S120" s="19"/>
      <c r="T120" s="19"/>
    </row>
    <row r="121" spans="1:20" ht="15.6" x14ac:dyDescent="0.6">
      <c r="A121" s="19"/>
      <c r="B121" s="19"/>
      <c r="C121" s="19"/>
      <c r="D121" s="19"/>
      <c r="E121" s="19"/>
      <c r="F121" s="19"/>
      <c r="G121" s="19"/>
      <c r="H121" s="19"/>
      <c r="I121" s="19"/>
      <c r="J121" s="19"/>
      <c r="K121" s="19"/>
      <c r="L121" s="19"/>
      <c r="M121" s="19"/>
      <c r="N121" s="19"/>
      <c r="O121" s="19"/>
      <c r="P121" s="19"/>
      <c r="Q121" s="19"/>
      <c r="R121" s="19"/>
      <c r="S121" s="19"/>
      <c r="T121" s="19"/>
    </row>
    <row r="122" spans="1:20" ht="15.6" x14ac:dyDescent="0.6">
      <c r="A122" s="19"/>
      <c r="B122" s="19"/>
      <c r="C122" s="19"/>
      <c r="D122" s="19"/>
      <c r="E122" s="19"/>
      <c r="F122" s="19"/>
      <c r="G122" s="19"/>
      <c r="H122" s="19"/>
      <c r="I122" s="19"/>
      <c r="J122" s="19"/>
      <c r="K122" s="19"/>
      <c r="L122" s="19"/>
      <c r="M122" s="19"/>
      <c r="N122" s="19"/>
      <c r="O122" s="19"/>
      <c r="P122" s="19"/>
      <c r="Q122" s="19"/>
      <c r="R122" s="19"/>
      <c r="S122" s="19"/>
      <c r="T122" s="19"/>
    </row>
    <row r="123" spans="1:20" ht="15.6" x14ac:dyDescent="0.6">
      <c r="A123" s="19"/>
      <c r="B123" s="19"/>
      <c r="C123" s="19"/>
      <c r="D123" s="19"/>
      <c r="E123" s="19"/>
      <c r="F123" s="19"/>
      <c r="G123" s="19"/>
      <c r="H123" s="19"/>
      <c r="I123" s="19"/>
      <c r="J123" s="19"/>
      <c r="K123" s="19"/>
      <c r="L123" s="19"/>
      <c r="M123" s="19"/>
      <c r="N123" s="19"/>
      <c r="O123" s="19"/>
      <c r="P123" s="19"/>
      <c r="Q123" s="19"/>
      <c r="R123" s="19"/>
      <c r="S123" s="19"/>
      <c r="T123" s="19"/>
    </row>
    <row r="124" spans="1:20" ht="15.6" x14ac:dyDescent="0.6">
      <c r="A124" s="19"/>
      <c r="B124" s="19"/>
      <c r="C124" s="19"/>
      <c r="D124" s="19"/>
      <c r="E124" s="19"/>
      <c r="F124" s="19"/>
      <c r="G124" s="19"/>
      <c r="H124" s="19"/>
      <c r="I124" s="19"/>
      <c r="J124" s="19"/>
      <c r="K124" s="19"/>
      <c r="L124" s="19"/>
      <c r="M124" s="19"/>
      <c r="N124" s="19"/>
      <c r="O124" s="19"/>
      <c r="P124" s="19"/>
      <c r="Q124" s="19"/>
      <c r="R124" s="19"/>
      <c r="S124" s="19"/>
      <c r="T124" s="19"/>
    </row>
    <row r="125" spans="1:20" ht="15.6" x14ac:dyDescent="0.6">
      <c r="A125" s="19"/>
      <c r="B125" s="19"/>
      <c r="C125" s="19"/>
      <c r="D125" s="19"/>
      <c r="E125" s="19"/>
      <c r="F125" s="19"/>
      <c r="G125" s="19"/>
      <c r="H125" s="19"/>
      <c r="I125" s="19"/>
      <c r="J125" s="19"/>
      <c r="K125" s="19"/>
      <c r="L125" s="19"/>
      <c r="M125" s="19"/>
      <c r="N125" s="19"/>
      <c r="O125" s="19"/>
      <c r="P125" s="19"/>
      <c r="Q125" s="19"/>
      <c r="R125" s="19"/>
      <c r="S125" s="19"/>
      <c r="T125" s="19"/>
    </row>
    <row r="126" spans="1:20" ht="15.6" x14ac:dyDescent="0.6">
      <c r="A126" s="19"/>
      <c r="B126" s="19"/>
      <c r="C126" s="19"/>
      <c r="D126" s="19"/>
      <c r="E126" s="19"/>
      <c r="F126" s="19"/>
      <c r="G126" s="19"/>
      <c r="H126" s="19"/>
      <c r="I126" s="19"/>
      <c r="J126" s="19"/>
      <c r="K126" s="19"/>
      <c r="L126" s="19"/>
      <c r="M126" s="19"/>
      <c r="N126" s="19"/>
      <c r="O126" s="19"/>
      <c r="P126" s="19"/>
      <c r="Q126" s="19"/>
      <c r="R126" s="19"/>
      <c r="S126" s="19"/>
      <c r="T126" s="19"/>
    </row>
    <row r="127" spans="1:20" ht="15.6" x14ac:dyDescent="0.6">
      <c r="A127" s="19"/>
      <c r="B127" s="19"/>
      <c r="C127" s="19"/>
      <c r="D127" s="19"/>
      <c r="E127" s="19"/>
      <c r="F127" s="19"/>
      <c r="G127" s="19"/>
      <c r="H127" s="19"/>
      <c r="I127" s="19"/>
      <c r="J127" s="19"/>
      <c r="K127" s="19"/>
      <c r="L127" s="19"/>
      <c r="M127" s="19"/>
      <c r="N127" s="19"/>
      <c r="O127" s="19"/>
      <c r="P127" s="19"/>
      <c r="Q127" s="19"/>
      <c r="R127" s="19"/>
      <c r="S127" s="19"/>
      <c r="T127" s="19"/>
    </row>
    <row r="128" spans="1:20" ht="15.6" x14ac:dyDescent="0.6">
      <c r="A128" s="19"/>
      <c r="B128" s="19"/>
      <c r="C128" s="19"/>
      <c r="D128" s="19"/>
      <c r="E128" s="19"/>
      <c r="F128" s="19"/>
      <c r="G128" s="19"/>
      <c r="H128" s="19"/>
      <c r="I128" s="19"/>
      <c r="J128" s="19"/>
      <c r="K128" s="19"/>
      <c r="L128" s="19"/>
      <c r="M128" s="19"/>
      <c r="N128" s="19"/>
      <c r="O128" s="19"/>
      <c r="P128" s="19"/>
      <c r="Q128" s="19"/>
      <c r="R128" s="19"/>
      <c r="S128" s="19"/>
      <c r="T128" s="19"/>
    </row>
  </sheetData>
  <mergeCells count="11">
    <mergeCell ref="A42:J42"/>
    <mergeCell ref="A44:L44"/>
    <mergeCell ref="A46:L46"/>
    <mergeCell ref="A48:L48"/>
    <mergeCell ref="A54:K54"/>
    <mergeCell ref="A56:K56"/>
    <mergeCell ref="A58:K58"/>
    <mergeCell ref="C49:K49"/>
    <mergeCell ref="C50:K50"/>
    <mergeCell ref="C51:K51"/>
    <mergeCell ref="C52:K52"/>
  </mergeCell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Normal="100" workbookViewId="0">
      <selection activeCell="K12" sqref="K12"/>
    </sheetView>
  </sheetViews>
  <sheetFormatPr defaultRowHeight="17.399999999999999" x14ac:dyDescent="0.55000000000000004"/>
  <cols>
    <col min="1" max="1" width="2.703125" customWidth="1"/>
    <col min="2" max="2" width="3.8203125" style="2" customWidth="1"/>
    <col min="3" max="3" width="27.17578125" customWidth="1"/>
    <col min="4" max="4" width="8.703125" customWidth="1"/>
    <col min="5" max="5" width="9.46875" customWidth="1"/>
    <col min="6" max="6" width="13.703125" customWidth="1"/>
    <col min="7" max="7" width="11.703125" customWidth="1"/>
    <col min="8" max="8" width="8.703125" customWidth="1"/>
    <col min="9" max="9" width="11.703125" customWidth="1"/>
    <col min="10" max="10" width="10.703125" customWidth="1"/>
    <col min="11" max="11" width="11.29296875" customWidth="1"/>
    <col min="12" max="12" width="10.703125" customWidth="1"/>
  </cols>
  <sheetData>
    <row r="1" spans="1:13" ht="17.25" customHeight="1" x14ac:dyDescent="0.75">
      <c r="A1" s="93" t="s">
        <v>307</v>
      </c>
      <c r="B1" s="249"/>
      <c r="C1" s="146"/>
      <c r="D1" s="146"/>
      <c r="E1" s="146"/>
      <c r="F1" s="146"/>
      <c r="G1" s="146"/>
    </row>
    <row r="2" spans="1:13" ht="4" customHeight="1" x14ac:dyDescent="0.7">
      <c r="A2" s="25"/>
      <c r="B2" s="19"/>
    </row>
    <row r="3" spans="1:13" ht="15.7" customHeight="1" x14ac:dyDescent="0.7">
      <c r="A3" s="25"/>
      <c r="B3" s="19" t="s">
        <v>101</v>
      </c>
    </row>
    <row r="4" spans="1:13" ht="15.7" customHeight="1" x14ac:dyDescent="0.7">
      <c r="A4" s="25"/>
      <c r="B4" s="19" t="s">
        <v>104</v>
      </c>
    </row>
    <row r="5" spans="1:13" ht="15.6" x14ac:dyDescent="0.6">
      <c r="A5" s="21"/>
      <c r="B5" s="19" t="s">
        <v>105</v>
      </c>
      <c r="C5" s="21"/>
      <c r="D5" s="19"/>
      <c r="E5" s="19"/>
      <c r="F5" s="19"/>
      <c r="G5" s="19"/>
      <c r="H5" s="19"/>
      <c r="I5" s="19"/>
      <c r="J5" s="19"/>
      <c r="K5" s="19"/>
      <c r="L5" s="19"/>
      <c r="M5" s="19"/>
    </row>
    <row r="6" spans="1:13" ht="14.5" customHeight="1" x14ac:dyDescent="0.6">
      <c r="A6" s="21"/>
      <c r="B6" s="19" t="s">
        <v>39</v>
      </c>
      <c r="C6" s="21"/>
      <c r="D6" s="19"/>
      <c r="E6" s="19"/>
      <c r="F6" s="19"/>
      <c r="G6" s="19"/>
      <c r="H6" s="19"/>
      <c r="I6" s="19"/>
      <c r="J6" s="19"/>
      <c r="K6" s="19"/>
      <c r="L6" s="19"/>
      <c r="M6" s="19"/>
    </row>
    <row r="7" spans="1:13" ht="5.2" customHeight="1" x14ac:dyDescent="0.45">
      <c r="B7"/>
    </row>
    <row r="8" spans="1:13" ht="15.6" x14ac:dyDescent="0.6">
      <c r="A8" s="21"/>
      <c r="B8" s="19" t="s">
        <v>140</v>
      </c>
      <c r="C8" s="119" t="s">
        <v>40</v>
      </c>
      <c r="D8" s="130"/>
      <c r="E8" s="19" t="s">
        <v>124</v>
      </c>
      <c r="G8" s="19"/>
      <c r="H8" s="19"/>
      <c r="I8" s="19"/>
      <c r="J8" s="19"/>
      <c r="K8" s="19"/>
      <c r="L8" s="19"/>
      <c r="M8" s="19"/>
    </row>
    <row r="9" spans="1:13" ht="4.5" customHeight="1" x14ac:dyDescent="0.6">
      <c r="A9" s="21"/>
      <c r="B9" s="21"/>
      <c r="C9" s="21"/>
      <c r="D9" s="21"/>
      <c r="E9" s="21"/>
      <c r="F9" s="19"/>
      <c r="G9" s="19"/>
      <c r="H9" s="19"/>
      <c r="I9" s="19"/>
      <c r="J9" s="19"/>
      <c r="K9" s="19"/>
      <c r="L9" s="19"/>
      <c r="M9" s="19"/>
    </row>
    <row r="10" spans="1:13" ht="18.3" x14ac:dyDescent="0.7">
      <c r="A10" s="21"/>
      <c r="B10" s="25" t="s">
        <v>206</v>
      </c>
      <c r="C10" s="21"/>
      <c r="D10" s="21"/>
      <c r="E10" s="19"/>
      <c r="F10" s="19"/>
      <c r="G10" s="19"/>
      <c r="H10" s="19"/>
      <c r="I10" s="19"/>
      <c r="J10" s="19"/>
      <c r="K10" s="19"/>
      <c r="L10" s="19"/>
      <c r="M10" s="19"/>
    </row>
    <row r="11" spans="1:13" ht="17.7" x14ac:dyDescent="0.6">
      <c r="A11" s="21"/>
      <c r="C11" s="19" t="s">
        <v>63</v>
      </c>
      <c r="D11" s="295">
        <v>1000</v>
      </c>
      <c r="E11" s="20" t="s">
        <v>42</v>
      </c>
      <c r="F11" s="19"/>
      <c r="G11" s="19"/>
      <c r="H11" s="19"/>
      <c r="I11" s="19"/>
      <c r="J11" s="19"/>
      <c r="K11" s="19"/>
      <c r="L11" s="19"/>
      <c r="M11" s="19"/>
    </row>
    <row r="12" spans="1:13" ht="17.7" x14ac:dyDescent="0.6">
      <c r="A12" s="21"/>
      <c r="C12" s="19" t="s">
        <v>129</v>
      </c>
      <c r="D12" s="295">
        <v>6000</v>
      </c>
      <c r="E12" s="20" t="s">
        <v>131</v>
      </c>
      <c r="F12" s="19"/>
      <c r="G12" s="117">
        <f>D12/D11</f>
        <v>6</v>
      </c>
      <c r="H12" s="20" t="s">
        <v>205</v>
      </c>
      <c r="I12" s="19"/>
      <c r="J12" s="19"/>
      <c r="K12" s="19"/>
      <c r="L12" s="19"/>
      <c r="M12" s="19"/>
    </row>
    <row r="13" spans="1:13" ht="17.7" x14ac:dyDescent="0.6">
      <c r="A13" s="21"/>
      <c r="C13" s="19" t="s">
        <v>130</v>
      </c>
      <c r="D13" s="295">
        <v>2500</v>
      </c>
      <c r="E13" s="20" t="s">
        <v>131</v>
      </c>
      <c r="F13" s="19"/>
      <c r="G13" s="117">
        <f>D13/D11</f>
        <v>2.5</v>
      </c>
      <c r="H13" s="20" t="s">
        <v>125</v>
      </c>
      <c r="I13" s="19"/>
      <c r="J13" s="19"/>
      <c r="K13" s="19"/>
      <c r="L13" s="19"/>
      <c r="M13" s="19"/>
    </row>
    <row r="14" spans="1:13" ht="17.7" x14ac:dyDescent="0.6">
      <c r="A14" s="21"/>
      <c r="C14" s="19" t="s">
        <v>2</v>
      </c>
      <c r="D14" s="296">
        <v>0.01</v>
      </c>
      <c r="E14" s="20" t="s">
        <v>51</v>
      </c>
      <c r="F14" s="19"/>
      <c r="G14" s="118">
        <f>D12*D14</f>
        <v>60</v>
      </c>
      <c r="H14" s="20" t="s">
        <v>43</v>
      </c>
      <c r="I14" s="19"/>
      <c r="J14" s="19"/>
      <c r="K14" s="19"/>
      <c r="L14" s="19"/>
      <c r="M14" s="19"/>
    </row>
    <row r="15" spans="1:13" ht="17.7" x14ac:dyDescent="0.6">
      <c r="A15" s="21"/>
      <c r="C15" s="19" t="s">
        <v>45</v>
      </c>
      <c r="D15" s="92">
        <v>0.05</v>
      </c>
      <c r="E15" s="115"/>
      <c r="F15" s="19"/>
      <c r="G15" s="118">
        <f>D12*D15</f>
        <v>300</v>
      </c>
      <c r="H15" s="115" t="s">
        <v>43</v>
      </c>
      <c r="I15" s="19"/>
      <c r="J15" s="19"/>
      <c r="K15" s="19"/>
      <c r="L15" s="19"/>
      <c r="M15" s="19"/>
    </row>
    <row r="16" spans="1:13" ht="17.7" x14ac:dyDescent="0.6">
      <c r="A16" s="21"/>
      <c r="C16" s="19" t="s">
        <v>65</v>
      </c>
      <c r="D16" s="92">
        <v>0.15</v>
      </c>
      <c r="E16" s="146"/>
      <c r="F16" s="19"/>
      <c r="G16" s="118">
        <f>G17-G15</f>
        <v>900</v>
      </c>
      <c r="H16" s="115" t="s">
        <v>43</v>
      </c>
      <c r="I16" s="19"/>
      <c r="J16" s="19"/>
      <c r="K16" s="19"/>
      <c r="L16" s="19"/>
      <c r="M16" s="19"/>
    </row>
    <row r="17" spans="1:14" ht="15.6" x14ac:dyDescent="0.6">
      <c r="A17" s="21"/>
      <c r="B17" s="19"/>
      <c r="C17" s="19" t="s">
        <v>64</v>
      </c>
      <c r="D17" s="297">
        <f>D15+D16</f>
        <v>0.2</v>
      </c>
      <c r="E17" s="115" t="s">
        <v>141</v>
      </c>
      <c r="F17" s="19"/>
      <c r="G17" s="118">
        <f>D12*D17</f>
        <v>1200</v>
      </c>
      <c r="H17" s="20" t="s">
        <v>43</v>
      </c>
      <c r="I17" s="19"/>
      <c r="J17" s="19"/>
      <c r="K17" s="19"/>
      <c r="L17" s="19"/>
      <c r="M17" s="19"/>
    </row>
    <row r="18" spans="1:14" ht="15.6" x14ac:dyDescent="0.6">
      <c r="A18" s="21"/>
      <c r="B18" s="19"/>
      <c r="C18" s="19" t="s">
        <v>126</v>
      </c>
      <c r="D18" s="92">
        <v>0.02</v>
      </c>
      <c r="E18" s="20"/>
      <c r="F18" s="19"/>
      <c r="G18" s="118">
        <f>D$13*D18</f>
        <v>50</v>
      </c>
      <c r="H18" s="20" t="s">
        <v>43</v>
      </c>
      <c r="I18" s="19"/>
      <c r="J18" s="19"/>
      <c r="K18" s="19"/>
      <c r="L18" s="19"/>
      <c r="M18" s="19"/>
    </row>
    <row r="19" spans="1:14" ht="15.6" x14ac:dyDescent="0.6">
      <c r="A19" s="21"/>
      <c r="B19" s="19"/>
      <c r="C19" s="19" t="s">
        <v>127</v>
      </c>
      <c r="D19" s="320">
        <v>0.15</v>
      </c>
      <c r="E19" s="20" t="s">
        <v>219</v>
      </c>
      <c r="F19" s="19"/>
      <c r="G19" s="118">
        <f>D$13*D19</f>
        <v>375</v>
      </c>
      <c r="H19" s="20" t="s">
        <v>43</v>
      </c>
      <c r="I19" s="19"/>
      <c r="J19" s="19"/>
      <c r="K19" s="19"/>
      <c r="L19" s="19"/>
      <c r="M19" s="19"/>
    </row>
    <row r="20" spans="1:14" ht="15.6" x14ac:dyDescent="0.6">
      <c r="A20" s="21"/>
      <c r="B20" s="19"/>
      <c r="C20" s="19" t="s">
        <v>128</v>
      </c>
      <c r="D20" s="297">
        <f>SUM(D18:D19)</f>
        <v>0.16999999999999998</v>
      </c>
      <c r="E20" s="115" t="s">
        <v>141</v>
      </c>
      <c r="F20" s="19"/>
      <c r="G20" s="118">
        <f>D$13*D20</f>
        <v>424.99999999999994</v>
      </c>
      <c r="H20" s="20" t="s">
        <v>43</v>
      </c>
      <c r="I20" s="19"/>
      <c r="J20" s="19"/>
      <c r="K20" s="19"/>
      <c r="L20" s="19"/>
      <c r="M20" s="19"/>
    </row>
    <row r="21" spans="1:14" ht="15.6" x14ac:dyDescent="0.6">
      <c r="A21" s="21"/>
      <c r="B21" s="19"/>
      <c r="C21" s="19" t="s">
        <v>52</v>
      </c>
      <c r="D21" s="92">
        <v>0.2</v>
      </c>
      <c r="E21" s="20" t="s">
        <v>165</v>
      </c>
      <c r="F21" s="19"/>
      <c r="G21" s="118">
        <f>G14*D21</f>
        <v>12</v>
      </c>
      <c r="H21" s="20" t="s">
        <v>53</v>
      </c>
      <c r="I21" s="19"/>
      <c r="J21" s="19"/>
      <c r="K21" s="19"/>
      <c r="L21" s="19"/>
      <c r="M21" s="19"/>
    </row>
    <row r="22" spans="1:14" ht="14.5" customHeight="1" x14ac:dyDescent="0.6">
      <c r="A22" s="21"/>
      <c r="B22" s="19"/>
      <c r="C22" s="19" t="s">
        <v>44</v>
      </c>
      <c r="D22" s="92">
        <v>0.9</v>
      </c>
      <c r="E22" s="20" t="s">
        <v>54</v>
      </c>
      <c r="F22" s="19"/>
      <c r="G22" s="118">
        <f>D12*D22</f>
        <v>5400</v>
      </c>
      <c r="H22" s="20" t="s">
        <v>43</v>
      </c>
      <c r="I22" s="315"/>
      <c r="J22" s="19"/>
      <c r="K22" s="19"/>
      <c r="L22" s="19"/>
      <c r="M22" s="19"/>
    </row>
    <row r="23" spans="1:14" ht="9.6999999999999993" customHeight="1" x14ac:dyDescent="0.6">
      <c r="A23" s="21"/>
      <c r="B23" s="19"/>
      <c r="C23" s="19"/>
      <c r="D23" s="19"/>
      <c r="E23" s="39"/>
      <c r="F23" s="19"/>
      <c r="G23" s="19"/>
      <c r="H23" s="19"/>
      <c r="I23" s="19"/>
      <c r="J23" s="19"/>
      <c r="K23" s="19"/>
      <c r="L23" s="19"/>
      <c r="M23" s="19"/>
    </row>
    <row r="24" spans="1:14" ht="18.3" x14ac:dyDescent="0.7">
      <c r="A24" s="21"/>
      <c r="B24" s="25" t="s">
        <v>207</v>
      </c>
      <c r="C24" s="21"/>
      <c r="D24" s="21"/>
      <c r="E24" s="19"/>
      <c r="F24" s="19"/>
      <c r="G24" s="19"/>
      <c r="H24" s="19"/>
      <c r="I24" s="19"/>
      <c r="J24" s="19"/>
      <c r="K24" s="19"/>
      <c r="L24" s="19"/>
      <c r="M24" s="19"/>
      <c r="N24" s="19"/>
    </row>
    <row r="25" spans="1:14" ht="17.7" x14ac:dyDescent="0.6">
      <c r="A25" s="19"/>
      <c r="B25" s="94"/>
      <c r="C25" s="41"/>
      <c r="D25" s="41"/>
      <c r="E25" s="41"/>
      <c r="F25" s="41"/>
      <c r="G25" s="41"/>
      <c r="H25" s="41"/>
      <c r="I25" s="84" t="s">
        <v>46</v>
      </c>
      <c r="J25" s="84" t="s">
        <v>78</v>
      </c>
      <c r="K25" s="84" t="s">
        <v>87</v>
      </c>
      <c r="L25" s="29"/>
      <c r="M25" s="19"/>
      <c r="N25" s="19"/>
    </row>
    <row r="26" spans="1:14" ht="15.6" x14ac:dyDescent="0.6">
      <c r="A26" s="19"/>
      <c r="B26" s="32" t="s">
        <v>18</v>
      </c>
      <c r="C26" s="31"/>
      <c r="D26" s="31"/>
      <c r="E26" s="34"/>
      <c r="F26" s="31"/>
      <c r="G26" s="31"/>
      <c r="H26" s="31"/>
      <c r="I26" s="85" t="s">
        <v>48</v>
      </c>
      <c r="J26" s="85" t="s">
        <v>49</v>
      </c>
      <c r="K26" s="85" t="s">
        <v>50</v>
      </c>
      <c r="L26" s="29"/>
      <c r="M26" s="19"/>
      <c r="N26" s="19"/>
    </row>
    <row r="27" spans="1:14" ht="15.6" x14ac:dyDescent="0.6">
      <c r="A27" s="19"/>
      <c r="B27" s="30" t="s">
        <v>4</v>
      </c>
      <c r="C27" s="31"/>
      <c r="D27" s="31"/>
      <c r="E27" s="34"/>
      <c r="F27" s="31"/>
      <c r="G27" s="31"/>
      <c r="H27" s="31"/>
      <c r="I27" s="85"/>
      <c r="J27" s="85"/>
      <c r="K27" s="85"/>
      <c r="L27" s="29"/>
      <c r="M27" s="19"/>
      <c r="N27" s="19"/>
    </row>
    <row r="28" spans="1:14" ht="17.7" x14ac:dyDescent="0.6">
      <c r="A28" s="19"/>
      <c r="B28" s="121"/>
      <c r="C28" s="31" t="s">
        <v>129</v>
      </c>
      <c r="D28" s="69">
        <f>D12</f>
        <v>6000</v>
      </c>
      <c r="E28" s="299" t="s">
        <v>57</v>
      </c>
      <c r="F28" s="158">
        <v>4</v>
      </c>
      <c r="G28" s="159">
        <v>9</v>
      </c>
      <c r="H28" s="298" t="s">
        <v>47</v>
      </c>
      <c r="I28" s="89">
        <f>CEILING(D28*F28*G28,10)</f>
        <v>216000</v>
      </c>
      <c r="J28" s="90">
        <f>I28/$D$12</f>
        <v>36</v>
      </c>
      <c r="K28" s="91">
        <f>I28/$D$11</f>
        <v>216</v>
      </c>
      <c r="L28" s="19"/>
      <c r="M28" s="19"/>
      <c r="N28" s="19"/>
    </row>
    <row r="29" spans="1:14" ht="15.6" x14ac:dyDescent="0.6">
      <c r="A29" s="19"/>
      <c r="B29" s="30"/>
      <c r="C29" s="31" t="s">
        <v>130</v>
      </c>
      <c r="D29" s="69">
        <f>D13</f>
        <v>2500</v>
      </c>
      <c r="E29" s="299" t="s">
        <v>57</v>
      </c>
      <c r="F29" s="158">
        <v>5</v>
      </c>
      <c r="G29" s="159">
        <v>9</v>
      </c>
      <c r="H29" s="298" t="s">
        <v>47</v>
      </c>
      <c r="I29" s="89">
        <f t="shared" ref="I29:I30" si="0">CEILING(D29*F29*G29,10)</f>
        <v>112500</v>
      </c>
      <c r="J29" s="90">
        <f t="shared" ref="J29:J31" si="1">I29/$D$12</f>
        <v>18.75</v>
      </c>
      <c r="K29" s="91">
        <f t="shared" ref="K29:K31" si="2">I29/$D$11</f>
        <v>112.5</v>
      </c>
      <c r="L29" s="19"/>
      <c r="M29" s="19"/>
      <c r="N29" s="19"/>
    </row>
    <row r="30" spans="1:14" ht="15.6" x14ac:dyDescent="0.6">
      <c r="A30" s="19"/>
      <c r="B30" s="30"/>
      <c r="C30" s="31" t="s">
        <v>2</v>
      </c>
      <c r="D30" s="69">
        <f>G14</f>
        <v>60</v>
      </c>
      <c r="E30" s="299" t="s">
        <v>57</v>
      </c>
      <c r="F30" s="158">
        <v>6</v>
      </c>
      <c r="G30" s="159">
        <v>9</v>
      </c>
      <c r="H30" s="298" t="s">
        <v>47</v>
      </c>
      <c r="I30" s="89">
        <f t="shared" si="0"/>
        <v>3240</v>
      </c>
      <c r="J30" s="90">
        <f t="shared" si="1"/>
        <v>0.54</v>
      </c>
      <c r="K30" s="91">
        <f t="shared" si="2"/>
        <v>3.24</v>
      </c>
      <c r="L30" s="19"/>
      <c r="M30" s="19"/>
      <c r="N30" s="19"/>
    </row>
    <row r="31" spans="1:14" ht="15.6" x14ac:dyDescent="0.6">
      <c r="A31" s="19"/>
      <c r="B31" s="30"/>
      <c r="C31" s="31" t="s">
        <v>138</v>
      </c>
      <c r="D31" s="125">
        <f>G17+G20</f>
        <v>1625</v>
      </c>
      <c r="E31" s="299" t="s">
        <v>57</v>
      </c>
      <c r="F31" s="158">
        <v>0.8</v>
      </c>
      <c r="G31" s="159">
        <v>9</v>
      </c>
      <c r="H31" s="298" t="s">
        <v>47</v>
      </c>
      <c r="I31" s="122">
        <f>CEILING(D31*F31*G31,10)</f>
        <v>11700</v>
      </c>
      <c r="J31" s="123">
        <f t="shared" si="1"/>
        <v>1.95</v>
      </c>
      <c r="K31" s="124">
        <f t="shared" si="2"/>
        <v>11.7</v>
      </c>
      <c r="L31" s="19"/>
      <c r="M31" s="19"/>
      <c r="N31" s="19"/>
    </row>
    <row r="32" spans="1:14" ht="15.6" x14ac:dyDescent="0.6">
      <c r="A32" s="19"/>
      <c r="B32" s="30"/>
      <c r="C32" s="31"/>
      <c r="D32" s="69">
        <f>SUM(D28:D31)</f>
        <v>10185</v>
      </c>
      <c r="E32" s="299" t="s">
        <v>57</v>
      </c>
      <c r="F32" s="160">
        <f>SUMPRODUCT(D28:D31,F28:F31)/D32</f>
        <v>3.7466863033873343</v>
      </c>
      <c r="G32" s="161">
        <f>I32/(D32*F32)</f>
        <v>9</v>
      </c>
      <c r="H32" s="298" t="s">
        <v>150</v>
      </c>
      <c r="I32" s="89">
        <f>SUM(I28:I31)</f>
        <v>343440</v>
      </c>
      <c r="J32" s="90">
        <f>SUM(J28:J31)</f>
        <v>57.24</v>
      </c>
      <c r="K32" s="91">
        <f>SUM(K28:K31)</f>
        <v>343.44</v>
      </c>
      <c r="L32" s="19"/>
      <c r="M32" s="19"/>
      <c r="N32" s="19"/>
    </row>
    <row r="33" spans="1:14" ht="15.6" x14ac:dyDescent="0.6">
      <c r="A33" s="19"/>
      <c r="B33" s="30" t="s">
        <v>139</v>
      </c>
      <c r="C33" s="31"/>
      <c r="D33" s="31"/>
      <c r="E33" s="52"/>
      <c r="F33" s="31"/>
      <c r="G33" s="31"/>
      <c r="H33" s="31"/>
      <c r="I33" s="89"/>
      <c r="J33" s="90"/>
      <c r="K33" s="91"/>
      <c r="L33" s="19"/>
      <c r="M33" s="19"/>
      <c r="N33" s="19"/>
    </row>
    <row r="34" spans="1:14" ht="15.6" x14ac:dyDescent="0.6">
      <c r="A34" s="19"/>
      <c r="B34" s="32"/>
      <c r="C34" s="33" t="s">
        <v>19</v>
      </c>
      <c r="D34" s="126">
        <f>G16</f>
        <v>900</v>
      </c>
      <c r="E34" s="300" t="s">
        <v>57</v>
      </c>
      <c r="F34" s="162">
        <v>40</v>
      </c>
      <c r="G34" s="52" t="s">
        <v>55</v>
      </c>
      <c r="H34" s="7"/>
      <c r="I34" s="89">
        <f t="shared" ref="I34" si="3">CEILING(D34*F34,10)</f>
        <v>36000</v>
      </c>
      <c r="J34" s="90">
        <f>I34/$D$12</f>
        <v>6</v>
      </c>
      <c r="K34" s="91">
        <f>I34/$D$11</f>
        <v>36</v>
      </c>
      <c r="L34" s="19"/>
      <c r="M34" s="19"/>
      <c r="N34" s="19"/>
    </row>
    <row r="35" spans="1:14" ht="15.6" x14ac:dyDescent="0.6">
      <c r="A35" s="19"/>
      <c r="B35" s="32"/>
      <c r="C35" s="33" t="s">
        <v>132</v>
      </c>
      <c r="D35" s="126">
        <f>G19</f>
        <v>375</v>
      </c>
      <c r="E35" s="300" t="s">
        <v>57</v>
      </c>
      <c r="F35" s="162">
        <v>40</v>
      </c>
      <c r="G35" s="52" t="s">
        <v>55</v>
      </c>
      <c r="H35" s="7"/>
      <c r="I35" s="89">
        <f>CEILING(D35*F35,10)</f>
        <v>15000</v>
      </c>
      <c r="J35" s="90">
        <f>I35/$D$12</f>
        <v>2.5</v>
      </c>
      <c r="K35" s="91">
        <f>I35/$D$11</f>
        <v>15</v>
      </c>
      <c r="L35" s="19"/>
      <c r="M35" s="19"/>
      <c r="N35" s="19"/>
    </row>
    <row r="36" spans="1:14" ht="15.6" x14ac:dyDescent="0.6">
      <c r="A36" s="19"/>
      <c r="B36" s="32"/>
      <c r="C36" s="33" t="s">
        <v>20</v>
      </c>
      <c r="D36" s="126">
        <f>G22-G17-G20</f>
        <v>3775</v>
      </c>
      <c r="E36" s="300" t="s">
        <v>57</v>
      </c>
      <c r="F36" s="162">
        <v>60</v>
      </c>
      <c r="G36" s="52" t="s">
        <v>55</v>
      </c>
      <c r="H36" s="7"/>
      <c r="I36" s="89">
        <f t="shared" ref="I36:I37" si="4">CEILING(D36*F36,10)</f>
        <v>226500</v>
      </c>
      <c r="J36" s="90">
        <f>I36/$D$12</f>
        <v>37.75</v>
      </c>
      <c r="K36" s="91">
        <f>I36/$D$11</f>
        <v>226.5</v>
      </c>
      <c r="L36" s="19"/>
      <c r="M36" s="19"/>
      <c r="N36" s="19"/>
    </row>
    <row r="37" spans="1:14" ht="15.6" x14ac:dyDescent="0.6">
      <c r="A37" s="19"/>
      <c r="B37" s="32"/>
      <c r="C37" s="33" t="s">
        <v>21</v>
      </c>
      <c r="D37" s="128">
        <f>G21</f>
        <v>12</v>
      </c>
      <c r="E37" s="300" t="s">
        <v>57</v>
      </c>
      <c r="F37" s="162">
        <v>40</v>
      </c>
      <c r="G37" s="52" t="s">
        <v>55</v>
      </c>
      <c r="H37" s="7"/>
      <c r="I37" s="122">
        <f t="shared" si="4"/>
        <v>480</v>
      </c>
      <c r="J37" s="123">
        <f>I37/$D$12</f>
        <v>0.08</v>
      </c>
      <c r="K37" s="124">
        <f>I37/$D$11</f>
        <v>0.48</v>
      </c>
      <c r="L37" s="19"/>
      <c r="M37" s="19"/>
      <c r="N37" s="19"/>
    </row>
    <row r="38" spans="1:14" ht="15.6" x14ac:dyDescent="0.6">
      <c r="A38" s="19"/>
      <c r="B38" s="32"/>
      <c r="C38" s="33"/>
      <c r="D38" s="126">
        <f>SUM(D34:D37)</f>
        <v>5062</v>
      </c>
      <c r="E38" s="300" t="s">
        <v>137</v>
      </c>
      <c r="F38" s="163"/>
      <c r="G38" s="34"/>
      <c r="H38" s="34"/>
      <c r="I38" s="89">
        <f>SUM(I34:I37)</f>
        <v>277980</v>
      </c>
      <c r="J38" s="90">
        <f>I38/$D$12</f>
        <v>46.33</v>
      </c>
      <c r="K38" s="91">
        <f>I38/$D$11</f>
        <v>277.98</v>
      </c>
      <c r="L38" s="19"/>
      <c r="M38" s="19"/>
      <c r="N38" s="19"/>
    </row>
    <row r="39" spans="1:14" ht="15.6" x14ac:dyDescent="0.6">
      <c r="A39" s="19"/>
      <c r="B39" s="30" t="s">
        <v>28</v>
      </c>
      <c r="C39" s="35"/>
      <c r="D39" s="35"/>
      <c r="E39" s="37"/>
      <c r="F39" s="163"/>
      <c r="G39" s="31"/>
      <c r="H39" s="31"/>
      <c r="I39" s="89"/>
      <c r="J39" s="90"/>
      <c r="K39" s="91"/>
      <c r="L39" s="19"/>
      <c r="M39" s="19"/>
      <c r="N39" s="19"/>
    </row>
    <row r="40" spans="1:14" ht="15.6" x14ac:dyDescent="0.6">
      <c r="A40" s="19"/>
      <c r="B40" s="27"/>
      <c r="C40" s="33" t="s">
        <v>1</v>
      </c>
      <c r="D40" s="129" t="s">
        <v>99</v>
      </c>
      <c r="E40" s="37"/>
      <c r="F40" s="163"/>
      <c r="G40" s="31"/>
      <c r="H40" s="31"/>
      <c r="I40" s="91">
        <v>0</v>
      </c>
      <c r="J40" s="90">
        <f>I40/$D$12</f>
        <v>0</v>
      </c>
      <c r="K40" s="91">
        <f>I40/$D$11</f>
        <v>0</v>
      </c>
      <c r="L40" s="19"/>
      <c r="M40" s="19"/>
      <c r="N40" s="19"/>
    </row>
    <row r="41" spans="1:14" ht="15.6" x14ac:dyDescent="0.6">
      <c r="A41" s="19"/>
      <c r="B41" s="27"/>
      <c r="C41" s="33" t="s">
        <v>133</v>
      </c>
      <c r="D41" s="129" t="s">
        <v>134</v>
      </c>
      <c r="E41" s="37"/>
      <c r="F41" s="163"/>
      <c r="G41" s="31"/>
      <c r="H41" s="31"/>
      <c r="I41" s="91">
        <v>0</v>
      </c>
      <c r="J41" s="90">
        <f>I41/$D$12</f>
        <v>0</v>
      </c>
      <c r="K41" s="91">
        <f>I41/$D$11</f>
        <v>0</v>
      </c>
      <c r="L41" s="19"/>
      <c r="M41" s="19"/>
      <c r="N41" s="19"/>
    </row>
    <row r="42" spans="1:14" ht="15.6" x14ac:dyDescent="0.6">
      <c r="A42" s="19"/>
      <c r="B42" s="27"/>
      <c r="C42" s="33" t="s">
        <v>2</v>
      </c>
      <c r="D42" s="126">
        <f>D37</f>
        <v>12</v>
      </c>
      <c r="E42" s="300" t="s">
        <v>57</v>
      </c>
      <c r="F42" s="162">
        <v>800</v>
      </c>
      <c r="G42" s="301" t="s">
        <v>58</v>
      </c>
      <c r="H42" s="31"/>
      <c r="I42" s="124">
        <f>-CEILING(D42*F42,10)</f>
        <v>-9600</v>
      </c>
      <c r="J42" s="123">
        <f>I42/$D$12</f>
        <v>-1.6</v>
      </c>
      <c r="K42" s="124">
        <f>I42/$D$11</f>
        <v>-9.6</v>
      </c>
      <c r="L42" s="19"/>
      <c r="M42" s="19"/>
      <c r="N42" s="19"/>
    </row>
    <row r="43" spans="1:14" ht="15.6" x14ac:dyDescent="0.6">
      <c r="A43" s="19"/>
      <c r="B43" s="32"/>
      <c r="C43" s="35"/>
      <c r="D43" s="35"/>
      <c r="E43" s="35"/>
      <c r="F43" s="35"/>
      <c r="G43" s="35"/>
      <c r="H43" s="35"/>
      <c r="I43" s="91">
        <f>SUM(I40:I42)</f>
        <v>-9600</v>
      </c>
      <c r="J43" s="90">
        <f>I43/$D$12</f>
        <v>-1.6</v>
      </c>
      <c r="K43" s="91">
        <f>I43/$D$11</f>
        <v>-9.6</v>
      </c>
      <c r="L43" s="19"/>
      <c r="M43" s="19"/>
      <c r="N43" s="19"/>
    </row>
    <row r="44" spans="1:14" ht="15.6" x14ac:dyDescent="0.6">
      <c r="A44" s="19"/>
      <c r="B44" s="40" t="s">
        <v>0</v>
      </c>
      <c r="C44" s="41"/>
      <c r="D44" s="41"/>
      <c r="E44" s="41"/>
      <c r="F44" s="41"/>
      <c r="G44" s="41"/>
      <c r="H44" s="41"/>
      <c r="I44" s="86">
        <f>I32+I38+I43</f>
        <v>611820</v>
      </c>
      <c r="J44" s="86">
        <f t="shared" ref="J44:K44" si="5">J32+J38+J43</f>
        <v>101.97</v>
      </c>
      <c r="K44" s="86">
        <f t="shared" si="5"/>
        <v>611.82000000000005</v>
      </c>
      <c r="L44" s="19"/>
      <c r="M44" s="19"/>
      <c r="N44" s="19"/>
    </row>
    <row r="45" spans="1:14" ht="15.6" x14ac:dyDescent="0.6">
      <c r="A45" s="19"/>
      <c r="B45" s="32" t="s">
        <v>23</v>
      </c>
      <c r="C45" s="31"/>
      <c r="D45" s="31"/>
      <c r="E45" s="31"/>
      <c r="F45" s="31"/>
      <c r="G45" s="31"/>
      <c r="H45" s="31"/>
      <c r="I45" s="85" t="s">
        <v>48</v>
      </c>
      <c r="J45" s="85" t="s">
        <v>49</v>
      </c>
      <c r="K45" s="85" t="s">
        <v>50</v>
      </c>
      <c r="L45" s="19"/>
      <c r="M45" s="19"/>
      <c r="N45" s="19"/>
    </row>
    <row r="46" spans="1:14" ht="15.6" x14ac:dyDescent="0.6">
      <c r="A46" s="19"/>
      <c r="B46" s="30" t="s">
        <v>3</v>
      </c>
      <c r="C46" s="31"/>
      <c r="I46" s="127"/>
      <c r="J46" s="127"/>
      <c r="K46" s="127"/>
      <c r="L46" s="19"/>
      <c r="M46" s="19"/>
      <c r="N46" s="19"/>
    </row>
    <row r="47" spans="1:14" ht="15.6" x14ac:dyDescent="0.6">
      <c r="A47" s="19"/>
      <c r="B47" s="30"/>
      <c r="C47" s="31" t="s">
        <v>136</v>
      </c>
      <c r="D47" s="69">
        <f>D32</f>
        <v>10185</v>
      </c>
      <c r="E47" s="302" t="str">
        <f>E28</f>
        <v>hd @</v>
      </c>
      <c r="F47" s="159">
        <v>3.5</v>
      </c>
      <c r="G47" s="304" t="s">
        <v>58</v>
      </c>
      <c r="H47" s="31"/>
      <c r="I47" s="89">
        <f>CEILING(D47*F47,10)</f>
        <v>35650</v>
      </c>
      <c r="J47" s="90">
        <f>I47/$D$12</f>
        <v>5.9416666666666664</v>
      </c>
      <c r="K47" s="91">
        <f>I47/$D$11</f>
        <v>35.65</v>
      </c>
      <c r="L47" s="19"/>
      <c r="M47" s="19"/>
      <c r="N47" s="19"/>
    </row>
    <row r="48" spans="1:14" ht="15.6" x14ac:dyDescent="0.6">
      <c r="A48" s="19"/>
      <c r="B48" s="30"/>
      <c r="C48" s="31" t="s">
        <v>135</v>
      </c>
      <c r="D48" s="69">
        <f>G22</f>
        <v>5400</v>
      </c>
      <c r="E48" s="302" t="str">
        <f>E29</f>
        <v>hd @</v>
      </c>
      <c r="F48" s="159">
        <v>3.5</v>
      </c>
      <c r="G48" s="304" t="s">
        <v>58</v>
      </c>
      <c r="H48" s="31"/>
      <c r="I48" s="122">
        <f>CEILING(D48*F48,10)</f>
        <v>18900</v>
      </c>
      <c r="J48" s="123">
        <f>I48/$D$12</f>
        <v>3.15</v>
      </c>
      <c r="K48" s="124">
        <f>I48/$D$11</f>
        <v>18.899999999999999</v>
      </c>
      <c r="L48" s="19"/>
      <c r="M48" s="19"/>
      <c r="N48" s="19"/>
    </row>
    <row r="49" spans="1:14" ht="15.6" x14ac:dyDescent="0.6">
      <c r="A49" s="19"/>
      <c r="B49" s="30"/>
      <c r="C49" s="31"/>
      <c r="D49" s="69"/>
      <c r="E49" s="303"/>
      <c r="F49" s="164"/>
      <c r="G49" s="304"/>
      <c r="H49" s="31"/>
      <c r="I49" s="89">
        <f>SUM(I47:I48)</f>
        <v>54550</v>
      </c>
      <c r="J49" s="90">
        <f>SUM(J47:J48)</f>
        <v>9.0916666666666668</v>
      </c>
      <c r="K49" s="91">
        <f>SUM(K47:K48)</f>
        <v>54.55</v>
      </c>
      <c r="L49" s="19"/>
      <c r="M49" s="19"/>
      <c r="N49" s="19"/>
    </row>
    <row r="50" spans="1:14" ht="15.6" x14ac:dyDescent="0.6">
      <c r="A50" s="19"/>
      <c r="B50" s="30" t="s">
        <v>24</v>
      </c>
      <c r="C50" s="31"/>
      <c r="D50" s="69">
        <f>D32</f>
        <v>10185</v>
      </c>
      <c r="E50" s="302" t="str">
        <f>E47</f>
        <v>hd @</v>
      </c>
      <c r="F50" s="159">
        <v>6.5</v>
      </c>
      <c r="G50" s="304" t="s">
        <v>58</v>
      </c>
      <c r="H50" s="31"/>
      <c r="I50" s="89">
        <f t="shared" ref="I50" si="6">D50*F50</f>
        <v>66202.5</v>
      </c>
      <c r="J50" s="90">
        <f>I50/$D$12</f>
        <v>11.03375</v>
      </c>
      <c r="K50" s="91">
        <f t="shared" ref="K50:K53" si="7">I50/$D$11</f>
        <v>66.202500000000001</v>
      </c>
      <c r="L50" s="19"/>
      <c r="M50" s="19"/>
      <c r="N50" s="19"/>
    </row>
    <row r="51" spans="1:14" ht="15.6" x14ac:dyDescent="0.6">
      <c r="A51" s="19"/>
      <c r="B51" s="30" t="s">
        <v>25</v>
      </c>
      <c r="C51" s="31"/>
      <c r="D51" s="126">
        <f>D32*F32/170</f>
        <v>224.47058823529412</v>
      </c>
      <c r="E51" s="302" t="s">
        <v>59</v>
      </c>
      <c r="F51" s="159">
        <v>20</v>
      </c>
      <c r="G51" s="304" t="s">
        <v>60</v>
      </c>
      <c r="H51" s="31"/>
      <c r="I51" s="89">
        <f>CEILING(D51*F51,10)</f>
        <v>4490</v>
      </c>
      <c r="J51" s="90">
        <f>I51/$D$12</f>
        <v>0.74833333333333329</v>
      </c>
      <c r="K51" s="91">
        <f t="shared" si="7"/>
        <v>4.49</v>
      </c>
      <c r="L51" s="19"/>
      <c r="M51" s="19"/>
      <c r="N51" s="19"/>
    </row>
    <row r="52" spans="1:14" ht="15.6" x14ac:dyDescent="0.6">
      <c r="A52" s="19"/>
      <c r="B52" s="30" t="s">
        <v>26</v>
      </c>
      <c r="C52" s="31"/>
      <c r="D52" s="34"/>
      <c r="E52" s="301"/>
      <c r="F52" s="159">
        <v>15</v>
      </c>
      <c r="G52" s="304" t="s">
        <v>60</v>
      </c>
      <c r="H52" s="31"/>
      <c r="I52" s="89">
        <f>CEILING(D51*F52,10)</f>
        <v>3370</v>
      </c>
      <c r="J52" s="90">
        <f>I52/$D$12</f>
        <v>0.56166666666666665</v>
      </c>
      <c r="K52" s="91">
        <f t="shared" si="7"/>
        <v>3.37</v>
      </c>
      <c r="L52" s="19"/>
      <c r="M52" s="19"/>
      <c r="N52" s="19"/>
    </row>
    <row r="53" spans="1:14" ht="15.6" x14ac:dyDescent="0.6">
      <c r="A53" s="19"/>
      <c r="B53" s="30" t="s">
        <v>27</v>
      </c>
      <c r="C53" s="31"/>
      <c r="D53" s="69">
        <f>D38+D42</f>
        <v>5074</v>
      </c>
      <c r="E53" s="300" t="s">
        <v>57</v>
      </c>
      <c r="F53" s="159">
        <v>2</v>
      </c>
      <c r="G53" s="304" t="s">
        <v>61</v>
      </c>
      <c r="H53" s="31"/>
      <c r="I53" s="89">
        <f>CEILING(D53*F53,10)</f>
        <v>10150</v>
      </c>
      <c r="J53" s="90">
        <f>I53/$D$12</f>
        <v>1.6916666666666667</v>
      </c>
      <c r="K53" s="91">
        <f t="shared" si="7"/>
        <v>10.15</v>
      </c>
      <c r="L53" s="19"/>
      <c r="M53" s="19"/>
      <c r="N53" s="19"/>
    </row>
    <row r="54" spans="1:14" ht="15.6" x14ac:dyDescent="0.6">
      <c r="A54" s="19"/>
      <c r="B54" s="40" t="s">
        <v>41</v>
      </c>
      <c r="C54" s="41"/>
      <c r="D54" s="41"/>
      <c r="E54" s="42"/>
      <c r="F54" s="41"/>
      <c r="G54" s="41"/>
      <c r="H54" s="41"/>
      <c r="I54" s="86">
        <f>SUM(I49:I53)</f>
        <v>138762.5</v>
      </c>
      <c r="J54" s="86">
        <f t="shared" ref="J54" si="8">SUM(J49:J53)</f>
        <v>23.127083333333335</v>
      </c>
      <c r="K54" s="86">
        <f>SUM(K49:K53)</f>
        <v>138.76249999999999</v>
      </c>
      <c r="L54" s="19"/>
      <c r="M54" s="19"/>
      <c r="N54" s="19"/>
    </row>
    <row r="55" spans="1:14" ht="15.6" x14ac:dyDescent="0.6">
      <c r="A55" s="19"/>
      <c r="B55" s="45" t="s">
        <v>62</v>
      </c>
      <c r="C55" s="41"/>
      <c r="D55" s="41"/>
      <c r="E55" s="42"/>
      <c r="F55" s="41"/>
      <c r="G55" s="41"/>
      <c r="H55" s="41"/>
      <c r="I55" s="86">
        <f>I44-I54</f>
        <v>473057.5</v>
      </c>
      <c r="J55" s="87">
        <f>J44-J54</f>
        <v>78.842916666666667</v>
      </c>
      <c r="K55" s="88">
        <f>K44-K54</f>
        <v>473.05750000000006</v>
      </c>
      <c r="L55" s="19"/>
      <c r="M55" s="19"/>
      <c r="N55" s="19"/>
    </row>
    <row r="56" spans="1:14" ht="15.6" x14ac:dyDescent="0.6">
      <c r="A56" s="19"/>
      <c r="B56" s="20"/>
      <c r="C56" s="19"/>
      <c r="D56" s="19"/>
      <c r="E56" s="19"/>
      <c r="F56" s="19"/>
      <c r="G56" s="19"/>
      <c r="H56" s="19"/>
      <c r="I56" s="19"/>
      <c r="J56" s="19"/>
      <c r="K56" s="19"/>
      <c r="L56" s="19"/>
      <c r="M56" s="19"/>
      <c r="N56" s="19"/>
    </row>
    <row r="57" spans="1:14" ht="15.6" x14ac:dyDescent="0.6">
      <c r="A57" s="19"/>
      <c r="B57" s="19"/>
      <c r="C57" s="19"/>
      <c r="D57" s="19"/>
      <c r="E57" s="19"/>
      <c r="F57" s="19"/>
      <c r="G57" s="19"/>
      <c r="H57" s="19"/>
      <c r="I57" s="19"/>
      <c r="J57" s="19"/>
      <c r="K57" s="19"/>
      <c r="L57" s="19"/>
      <c r="M57" s="19"/>
      <c r="N57" s="19"/>
    </row>
    <row r="58" spans="1:14" ht="17.7" x14ac:dyDescent="0.6">
      <c r="A58" s="19"/>
      <c r="G58" s="19"/>
      <c r="H58" s="19"/>
      <c r="I58" s="19"/>
      <c r="J58" s="19"/>
      <c r="K58" s="19"/>
      <c r="L58" s="19"/>
      <c r="M58" s="19"/>
      <c r="N58" s="19"/>
    </row>
    <row r="59" spans="1:14" ht="17.7" x14ac:dyDescent="0.6">
      <c r="A59" s="19"/>
      <c r="G59" s="19"/>
      <c r="H59" s="19"/>
      <c r="I59" s="19"/>
      <c r="J59" s="19"/>
      <c r="K59" s="19"/>
      <c r="L59" s="19"/>
      <c r="M59" s="19"/>
      <c r="N59" s="19"/>
    </row>
    <row r="60" spans="1:14" ht="17.7" x14ac:dyDescent="0.6">
      <c r="A60" s="19"/>
      <c r="G60" s="19"/>
      <c r="H60" s="19"/>
      <c r="I60" s="19"/>
      <c r="J60" s="19"/>
      <c r="K60" s="19"/>
      <c r="L60" s="19"/>
      <c r="M60" s="19"/>
      <c r="N60" s="19"/>
    </row>
    <row r="61" spans="1:14" ht="17.7" x14ac:dyDescent="0.6">
      <c r="A61" s="19"/>
      <c r="G61" s="19"/>
      <c r="H61" s="19"/>
      <c r="I61" s="19"/>
      <c r="J61" s="19"/>
      <c r="K61" s="19"/>
      <c r="L61" s="19"/>
      <c r="M61" s="19"/>
      <c r="N61" s="19"/>
    </row>
    <row r="62" spans="1:14" ht="17.7" x14ac:dyDescent="0.6">
      <c r="A62" s="19"/>
      <c r="G62" s="19"/>
      <c r="H62" s="19"/>
      <c r="I62" s="19"/>
      <c r="J62" s="19"/>
      <c r="K62" s="19"/>
      <c r="L62" s="19"/>
      <c r="M62" s="19"/>
      <c r="N62" s="19"/>
    </row>
    <row r="63" spans="1:14" ht="12" customHeight="1" x14ac:dyDescent="0.6">
      <c r="A63" s="19"/>
      <c r="G63" s="19"/>
      <c r="H63" s="19"/>
      <c r="I63" s="19"/>
      <c r="J63" s="19"/>
      <c r="K63" s="19"/>
      <c r="L63" s="19"/>
      <c r="M63" s="19"/>
      <c r="N63" s="19"/>
    </row>
    <row r="64" spans="1:14" ht="17.7" x14ac:dyDescent="0.6">
      <c r="A64" s="19"/>
      <c r="G64" s="19"/>
      <c r="H64" s="19"/>
      <c r="I64" s="19"/>
      <c r="J64" s="19"/>
      <c r="K64" s="19"/>
      <c r="L64" s="19"/>
      <c r="M64" s="19"/>
      <c r="N64" s="19"/>
    </row>
    <row r="65" spans="1:14" ht="17.7" x14ac:dyDescent="0.6">
      <c r="A65" s="19"/>
      <c r="G65" s="19"/>
      <c r="H65" s="19"/>
      <c r="I65" s="19"/>
      <c r="J65" s="19"/>
      <c r="K65" s="19"/>
      <c r="L65" s="19"/>
      <c r="M65" s="19"/>
      <c r="N65" s="19"/>
    </row>
    <row r="66" spans="1:14" ht="17.7" x14ac:dyDescent="0.6">
      <c r="A66" s="19"/>
      <c r="G66" s="19"/>
      <c r="H66" s="19"/>
      <c r="I66" s="19"/>
      <c r="J66" s="19"/>
      <c r="K66" s="19"/>
      <c r="L66" s="19"/>
      <c r="M66" s="19"/>
      <c r="N66" s="19"/>
    </row>
    <row r="67" spans="1:14" ht="17.7" x14ac:dyDescent="0.6">
      <c r="A67" s="19"/>
      <c r="G67" s="19"/>
      <c r="H67" s="19"/>
      <c r="I67" s="19"/>
      <c r="J67" s="19"/>
      <c r="K67" s="19"/>
      <c r="L67" s="19"/>
      <c r="M67" s="19"/>
      <c r="N67" s="19"/>
    </row>
    <row r="68" spans="1:14" ht="17.7" x14ac:dyDescent="0.6">
      <c r="A68" s="19"/>
      <c r="G68" s="19"/>
      <c r="H68" s="19"/>
      <c r="I68" s="19"/>
      <c r="J68" s="19"/>
      <c r="K68" s="19"/>
      <c r="L68" s="19"/>
      <c r="M68" s="19"/>
      <c r="N68" s="19"/>
    </row>
    <row r="69" spans="1:14" ht="17.7" x14ac:dyDescent="0.6">
      <c r="A69" s="19"/>
      <c r="G69" s="19"/>
      <c r="H69" s="19"/>
      <c r="I69" s="19"/>
      <c r="J69" s="19"/>
      <c r="K69" s="19"/>
      <c r="L69" s="19"/>
      <c r="M69" s="19"/>
      <c r="N69" s="19"/>
    </row>
    <row r="70" spans="1:14" ht="17.7" x14ac:dyDescent="0.6">
      <c r="A70" s="19"/>
      <c r="G70" s="19"/>
      <c r="H70" s="19"/>
      <c r="I70" s="19"/>
      <c r="J70" s="19"/>
      <c r="K70" s="19"/>
      <c r="L70" s="19"/>
      <c r="M70" s="19"/>
      <c r="N70" s="19"/>
    </row>
  </sheetData>
  <pageMargins left="0.31496062992125984" right="0.31496062992125984" top="0.74803149606299213" bottom="0.35433070866141736" header="0.31496062992125984" footer="0.31496062992125984"/>
  <pageSetup paperSize="9" scale="86" orientation="portrait" r:id="rId1"/>
  <ignoredErrors>
    <ignoredError sqref="J49:K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zoomScale="108" zoomScaleNormal="108" workbookViewId="0">
      <selection activeCell="C7" sqref="C7"/>
    </sheetView>
  </sheetViews>
  <sheetFormatPr defaultRowHeight="12.6" x14ac:dyDescent="0.45"/>
  <cols>
    <col min="1" max="1" width="1.703125" customWidth="1"/>
    <col min="2" max="2" width="3.8203125" customWidth="1"/>
    <col min="4" max="4" width="12" customWidth="1"/>
    <col min="5" max="5" width="12.8203125" customWidth="1"/>
    <col min="6" max="6" width="8.703125" customWidth="1"/>
    <col min="7" max="7" width="10" customWidth="1"/>
    <col min="8" max="8" width="5.29296875" customWidth="1"/>
  </cols>
  <sheetData>
    <row r="1" spans="1:17" ht="20.399999999999999" x14ac:dyDescent="0.75">
      <c r="A1" s="93" t="s">
        <v>160</v>
      </c>
      <c r="C1" s="19"/>
      <c r="D1" s="19"/>
      <c r="J1" s="19"/>
      <c r="K1" s="19"/>
    </row>
    <row r="2" spans="1:17" ht="7.5" customHeight="1" x14ac:dyDescent="0.7">
      <c r="A2" s="25"/>
      <c r="C2" s="19"/>
      <c r="D2" s="19"/>
      <c r="J2" s="19"/>
      <c r="K2" s="19"/>
    </row>
    <row r="3" spans="1:17" ht="15.6" x14ac:dyDescent="0.6">
      <c r="B3" s="19" t="s">
        <v>164</v>
      </c>
      <c r="C3" s="19"/>
      <c r="D3" s="19"/>
      <c r="J3" s="19"/>
      <c r="K3" s="19"/>
    </row>
    <row r="4" spans="1:17" ht="15.6" x14ac:dyDescent="0.6">
      <c r="B4" s="19" t="s">
        <v>162</v>
      </c>
      <c r="C4" s="19"/>
      <c r="D4" s="19"/>
      <c r="J4" s="19"/>
      <c r="K4" s="19"/>
    </row>
    <row r="5" spans="1:17" ht="15.6" x14ac:dyDescent="0.6">
      <c r="B5" s="19"/>
      <c r="C5" s="19"/>
      <c r="D5" s="19"/>
      <c r="J5" s="19"/>
      <c r="K5" s="19"/>
    </row>
    <row r="6" spans="1:17" ht="15.6" x14ac:dyDescent="0.6">
      <c r="B6" s="19" t="s">
        <v>140</v>
      </c>
      <c r="C6" s="119" t="s">
        <v>149</v>
      </c>
      <c r="D6" s="120"/>
      <c r="E6" s="131"/>
      <c r="F6" s="132"/>
      <c r="G6" s="19" t="s">
        <v>124</v>
      </c>
      <c r="I6" s="19"/>
      <c r="J6" s="19"/>
      <c r="K6" s="19"/>
    </row>
    <row r="7" spans="1:17" ht="15.6" x14ac:dyDescent="0.6">
      <c r="B7" s="22"/>
      <c r="C7" s="19" t="s">
        <v>332</v>
      </c>
      <c r="J7" s="19"/>
      <c r="K7" s="19"/>
    </row>
    <row r="8" spans="1:17" ht="18.3" x14ac:dyDescent="0.7">
      <c r="B8" s="25" t="s">
        <v>166</v>
      </c>
      <c r="D8" s="19"/>
      <c r="I8" s="19"/>
      <c r="J8" s="19"/>
    </row>
    <row r="9" spans="1:17" ht="7" customHeight="1" x14ac:dyDescent="0.6">
      <c r="D9" s="19"/>
      <c r="I9" s="19"/>
      <c r="J9" s="19"/>
    </row>
    <row r="10" spans="1:17" ht="15.6" x14ac:dyDescent="0.6">
      <c r="B10" s="22"/>
      <c r="C10" s="43"/>
      <c r="D10" s="44"/>
      <c r="E10" s="46" t="s">
        <v>287</v>
      </c>
      <c r="F10" s="388" t="s">
        <v>76</v>
      </c>
      <c r="G10" s="389"/>
      <c r="I10" s="19"/>
      <c r="J10" s="19"/>
      <c r="K10" s="19"/>
      <c r="L10" s="19"/>
      <c r="M10" s="19"/>
      <c r="N10" s="19"/>
      <c r="O10" s="19"/>
      <c r="P10" s="19"/>
      <c r="Q10" s="19"/>
    </row>
    <row r="11" spans="1:17" ht="15.6" x14ac:dyDescent="0.6">
      <c r="B11" s="22"/>
      <c r="C11" s="49"/>
      <c r="D11" s="50"/>
      <c r="E11" s="386" t="s">
        <v>315</v>
      </c>
      <c r="F11" s="390" t="s">
        <v>316</v>
      </c>
      <c r="G11" s="46" t="s">
        <v>317</v>
      </c>
      <c r="I11" s="19"/>
      <c r="J11" s="19"/>
      <c r="K11" s="19"/>
      <c r="L11" s="19"/>
      <c r="M11" s="19"/>
      <c r="N11" s="19"/>
      <c r="O11" s="19"/>
      <c r="P11" s="19"/>
      <c r="Q11" s="19"/>
    </row>
    <row r="12" spans="1:17" ht="38.049999999999997" customHeight="1" x14ac:dyDescent="0.6">
      <c r="B12" s="22"/>
      <c r="C12" s="47"/>
      <c r="D12" s="48"/>
      <c r="E12" s="387"/>
      <c r="F12" s="391"/>
      <c r="G12" s="375" t="s">
        <v>163</v>
      </c>
      <c r="I12" s="19"/>
      <c r="J12" s="19"/>
      <c r="K12" s="19"/>
      <c r="L12" s="19"/>
      <c r="M12" s="19"/>
      <c r="N12" s="19"/>
      <c r="O12" s="19"/>
      <c r="P12" s="19"/>
      <c r="Q12" s="19"/>
    </row>
    <row r="13" spans="1:17" ht="15.6" x14ac:dyDescent="0.6">
      <c r="B13" s="35"/>
      <c r="C13" s="26" t="s">
        <v>17</v>
      </c>
      <c r="D13" s="28"/>
      <c r="E13" s="134">
        <f>'Step 1'!D22</f>
        <v>0.9</v>
      </c>
      <c r="F13" s="92">
        <v>-0.1</v>
      </c>
      <c r="G13" s="140">
        <f>E13*(1+F13)</f>
        <v>0.81</v>
      </c>
      <c r="H13" s="111" t="s">
        <v>325</v>
      </c>
      <c r="J13" s="20"/>
      <c r="K13" s="19"/>
      <c r="L13" s="19"/>
      <c r="M13" s="19"/>
      <c r="N13" s="19"/>
      <c r="O13" s="19"/>
    </row>
    <row r="14" spans="1:17" ht="15.6" x14ac:dyDescent="0.6">
      <c r="B14" s="35"/>
      <c r="C14" s="27" t="s">
        <v>45</v>
      </c>
      <c r="D14" s="31"/>
      <c r="E14" s="135">
        <f>'Step 1'!D15</f>
        <v>0.05</v>
      </c>
      <c r="F14" s="92">
        <v>0.05</v>
      </c>
      <c r="G14" s="141">
        <f t="shared" ref="G14:G21" si="0">E14*(1+F14)</f>
        <v>5.2500000000000005E-2</v>
      </c>
      <c r="H14" s="156" t="s">
        <v>106</v>
      </c>
      <c r="J14" s="146"/>
      <c r="M14" s="19"/>
      <c r="N14" s="19"/>
      <c r="O14" s="19"/>
    </row>
    <row r="15" spans="1:17" ht="15.6" x14ac:dyDescent="0.6">
      <c r="B15" s="35"/>
      <c r="C15" s="27" t="s">
        <v>126</v>
      </c>
      <c r="D15" s="31"/>
      <c r="E15" s="135">
        <f>'Step 1'!D18</f>
        <v>0.02</v>
      </c>
      <c r="F15" s="92">
        <v>0.05</v>
      </c>
      <c r="G15" s="141">
        <f t="shared" si="0"/>
        <v>2.1000000000000001E-2</v>
      </c>
      <c r="H15" s="156" t="s">
        <v>107</v>
      </c>
      <c r="J15" s="146"/>
      <c r="M15" s="19"/>
      <c r="N15" s="19"/>
      <c r="O15" s="19"/>
    </row>
    <row r="16" spans="1:17" ht="15.6" x14ac:dyDescent="0.6">
      <c r="B16" s="35"/>
      <c r="C16" s="27" t="s">
        <v>143</v>
      </c>
      <c r="D16" s="31"/>
      <c r="E16" s="136">
        <f>'Step 1'!F34</f>
        <v>40</v>
      </c>
      <c r="F16" s="92">
        <v>-0.1</v>
      </c>
      <c r="G16" s="142">
        <f t="shared" si="0"/>
        <v>36</v>
      </c>
      <c r="H16" s="156" t="s">
        <v>108</v>
      </c>
      <c r="J16" s="146"/>
      <c r="M16" s="19"/>
      <c r="N16" s="19"/>
      <c r="O16" s="19"/>
    </row>
    <row r="17" spans="2:17" ht="15.6" x14ac:dyDescent="0.6">
      <c r="B17" s="35"/>
      <c r="C17" s="27" t="s">
        <v>144</v>
      </c>
      <c r="D17" s="31"/>
      <c r="E17" s="136">
        <f>'Step 1'!F35</f>
        <v>40</v>
      </c>
      <c r="F17" s="92">
        <v>-0.1</v>
      </c>
      <c r="G17" s="142">
        <f t="shared" si="0"/>
        <v>36</v>
      </c>
      <c r="H17" s="156" t="s">
        <v>109</v>
      </c>
      <c r="J17" s="146"/>
      <c r="M17" s="19"/>
      <c r="N17" s="19"/>
      <c r="O17" s="19"/>
    </row>
    <row r="18" spans="2:17" ht="15.6" x14ac:dyDescent="0.6">
      <c r="C18" s="27" t="s">
        <v>66</v>
      </c>
      <c r="D18" s="31"/>
      <c r="E18" s="136">
        <f>'Step 1'!F36</f>
        <v>60</v>
      </c>
      <c r="F18" s="92">
        <v>-0.1</v>
      </c>
      <c r="G18" s="142">
        <f>E18*(1+F18)</f>
        <v>54</v>
      </c>
      <c r="H18" s="156" t="s">
        <v>110</v>
      </c>
      <c r="J18" s="19"/>
      <c r="M18" s="19"/>
      <c r="N18" s="19"/>
      <c r="O18" s="19"/>
    </row>
    <row r="19" spans="2:17" ht="15.6" x14ac:dyDescent="0.6">
      <c r="C19" s="27" t="s">
        <v>145</v>
      </c>
      <c r="D19" s="31"/>
      <c r="E19" s="136">
        <f>'Step 1'!F37</f>
        <v>40</v>
      </c>
      <c r="F19" s="92">
        <v>-0.1</v>
      </c>
      <c r="G19" s="142">
        <f t="shared" ref="G19" si="1">E19*(1+F19)</f>
        <v>36</v>
      </c>
      <c r="K19" s="19"/>
      <c r="L19" s="19"/>
      <c r="M19" s="19"/>
      <c r="N19" s="115"/>
      <c r="O19" s="19"/>
      <c r="P19" s="19"/>
      <c r="Q19" s="19"/>
    </row>
    <row r="20" spans="2:17" ht="15.6" x14ac:dyDescent="0.6">
      <c r="C20" s="27" t="s">
        <v>77</v>
      </c>
      <c r="D20" s="31"/>
      <c r="E20" s="137">
        <f>'Step 1'!D32*'Step 1'!F32/'Step 1'!D28</f>
        <v>6.36</v>
      </c>
      <c r="F20" s="92">
        <v>-0.1</v>
      </c>
      <c r="G20" s="143">
        <f t="shared" si="0"/>
        <v>5.7240000000000002</v>
      </c>
      <c r="K20" s="19"/>
      <c r="L20" s="19"/>
      <c r="M20" s="19"/>
      <c r="N20" s="19"/>
      <c r="O20" s="19"/>
      <c r="P20" s="19"/>
      <c r="Q20" s="19"/>
    </row>
    <row r="21" spans="2:17" ht="15.6" x14ac:dyDescent="0.6">
      <c r="C21" s="316" t="s">
        <v>146</v>
      </c>
      <c r="D21" s="317"/>
      <c r="E21" s="318">
        <f>'Step 1'!G32</f>
        <v>9</v>
      </c>
      <c r="F21" s="157">
        <v>2.5000000000000001E-2</v>
      </c>
      <c r="G21" s="318">
        <f t="shared" si="0"/>
        <v>9.2249999999999996</v>
      </c>
    </row>
    <row r="22" spans="2:17" ht="15.6" x14ac:dyDescent="0.6">
      <c r="C22" s="20" t="s">
        <v>142</v>
      </c>
      <c r="D22" s="31"/>
      <c r="E22" s="31"/>
      <c r="F22" s="19"/>
    </row>
    <row r="23" spans="2:17" ht="15.6" x14ac:dyDescent="0.6">
      <c r="C23" s="52"/>
      <c r="D23" s="31"/>
      <c r="E23" s="31"/>
      <c r="F23" s="19"/>
      <c r="H23" s="145"/>
    </row>
    <row r="24" spans="2:17" ht="15.6" x14ac:dyDescent="0.6">
      <c r="B24" s="21" t="s">
        <v>151</v>
      </c>
      <c r="F24" s="92">
        <v>0.25</v>
      </c>
    </row>
    <row r="25" spans="2:17" ht="15.6" x14ac:dyDescent="0.6">
      <c r="B25" s="38"/>
      <c r="F25" s="19"/>
    </row>
    <row r="26" spans="2:17" ht="15.6" x14ac:dyDescent="0.6">
      <c r="B26" s="21" t="s">
        <v>157</v>
      </c>
      <c r="F26" s="19"/>
    </row>
    <row r="27" spans="2:17" ht="12.7" customHeight="1" x14ac:dyDescent="0.6">
      <c r="B27" s="19" t="s">
        <v>158</v>
      </c>
      <c r="F27" s="19"/>
    </row>
    <row r="28" spans="2:17" ht="4.5" customHeight="1" x14ac:dyDescent="0.6">
      <c r="B28" s="19"/>
      <c r="F28" s="19"/>
    </row>
    <row r="29" spans="2:17" ht="15.7" customHeight="1" x14ac:dyDescent="0.6">
      <c r="B29" s="19" t="s">
        <v>318</v>
      </c>
      <c r="C29" s="146"/>
      <c r="D29" s="146"/>
      <c r="E29" s="146"/>
      <c r="F29" s="19"/>
    </row>
    <row r="30" spans="2:17" ht="17.2" customHeight="1" x14ac:dyDescent="0.6">
      <c r="B30" s="19" t="s">
        <v>319</v>
      </c>
      <c r="F30" s="19"/>
    </row>
    <row r="31" spans="2:17" ht="17.2" customHeight="1" x14ac:dyDescent="0.6">
      <c r="B31" s="21"/>
      <c r="F31" s="19"/>
    </row>
    <row r="32" spans="2:17" ht="15.6" x14ac:dyDescent="0.6">
      <c r="C32" s="43"/>
      <c r="D32" s="44"/>
      <c r="E32" s="46" t="s">
        <v>287</v>
      </c>
      <c r="F32" s="388" t="s">
        <v>76</v>
      </c>
      <c r="G32" s="389"/>
    </row>
    <row r="33" spans="3:9" ht="15.6" x14ac:dyDescent="0.6">
      <c r="C33" s="49"/>
      <c r="D33" s="50"/>
      <c r="E33" s="386" t="str">
        <f>E11</f>
        <v>(from Step 1 worksheet)</v>
      </c>
      <c r="F33" s="147" t="s">
        <v>88</v>
      </c>
      <c r="G33" s="148" t="s">
        <v>147</v>
      </c>
    </row>
    <row r="34" spans="3:9" ht="15.6" x14ac:dyDescent="0.6">
      <c r="C34" s="49"/>
      <c r="D34" s="50"/>
      <c r="E34" s="386"/>
      <c r="F34" s="168" t="s">
        <v>167</v>
      </c>
      <c r="G34" s="169"/>
    </row>
    <row r="35" spans="3:9" ht="15.6" x14ac:dyDescent="0.6">
      <c r="C35" s="47"/>
      <c r="D35" s="48"/>
      <c r="E35" s="387"/>
      <c r="F35" s="149" t="s">
        <v>168</v>
      </c>
      <c r="G35" s="144"/>
      <c r="I35" s="248" t="s">
        <v>218</v>
      </c>
    </row>
    <row r="36" spans="3:9" ht="15.6" x14ac:dyDescent="0.6">
      <c r="C36" s="26" t="s">
        <v>17</v>
      </c>
      <c r="D36" s="28"/>
      <c r="E36" s="134">
        <f>E13</f>
        <v>0.9</v>
      </c>
      <c r="F36" s="150">
        <f t="shared" ref="F36:F44" si="2">E13*(1-F$24)+(G13*F$24)</f>
        <v>0.87750000000000006</v>
      </c>
      <c r="G36" s="151">
        <f>(F36-E36)/E36</f>
        <v>-2.499999999999996E-2</v>
      </c>
      <c r="H36" s="111" t="s">
        <v>94</v>
      </c>
    </row>
    <row r="37" spans="3:9" ht="15.6" x14ac:dyDescent="0.6">
      <c r="C37" s="27" t="s">
        <v>45</v>
      </c>
      <c r="D37" s="31"/>
      <c r="E37" s="135">
        <f>E14</f>
        <v>0.05</v>
      </c>
      <c r="F37" s="152">
        <f t="shared" si="2"/>
        <v>5.0625000000000003E-2</v>
      </c>
      <c r="G37" s="141">
        <f t="shared" ref="G37:G44" si="3">(F37-E37)/E37</f>
        <v>1.2500000000000011E-2</v>
      </c>
      <c r="H37" s="111" t="s">
        <v>95</v>
      </c>
    </row>
    <row r="38" spans="3:9" ht="15.6" x14ac:dyDescent="0.6">
      <c r="C38" s="27" t="s">
        <v>126</v>
      </c>
      <c r="D38" s="31"/>
      <c r="E38" s="135">
        <f>E15</f>
        <v>0.02</v>
      </c>
      <c r="F38" s="152">
        <f t="shared" si="2"/>
        <v>2.0250000000000001E-2</v>
      </c>
      <c r="G38" s="141">
        <f t="shared" si="3"/>
        <v>1.2500000000000011E-2</v>
      </c>
      <c r="H38" s="111" t="s">
        <v>95</v>
      </c>
    </row>
    <row r="39" spans="3:9" ht="15.6" x14ac:dyDescent="0.6">
      <c r="C39" s="27" t="s">
        <v>143</v>
      </c>
      <c r="D39" s="31"/>
      <c r="E39" s="136">
        <f t="shared" ref="E39:E40" si="4">E16</f>
        <v>40</v>
      </c>
      <c r="F39" s="153">
        <f t="shared" si="2"/>
        <v>39</v>
      </c>
      <c r="G39" s="141">
        <f t="shared" si="3"/>
        <v>-2.5000000000000001E-2</v>
      </c>
      <c r="H39" s="111" t="s">
        <v>148</v>
      </c>
    </row>
    <row r="40" spans="3:9" ht="15.6" x14ac:dyDescent="0.6">
      <c r="C40" s="27" t="s">
        <v>144</v>
      </c>
      <c r="D40" s="31"/>
      <c r="E40" s="136">
        <f t="shared" si="4"/>
        <v>40</v>
      </c>
      <c r="F40" s="153">
        <f t="shared" si="2"/>
        <v>39</v>
      </c>
      <c r="G40" s="141">
        <f t="shared" si="3"/>
        <v>-2.5000000000000001E-2</v>
      </c>
      <c r="H40" s="111" t="s">
        <v>148</v>
      </c>
    </row>
    <row r="41" spans="3:9" ht="15.6" x14ac:dyDescent="0.6">
      <c r="C41" s="27" t="s">
        <v>66</v>
      </c>
      <c r="D41" s="31"/>
      <c r="E41" s="136">
        <f>E18</f>
        <v>60</v>
      </c>
      <c r="F41" s="153">
        <f t="shared" si="2"/>
        <v>58.5</v>
      </c>
      <c r="G41" s="141">
        <f t="shared" si="3"/>
        <v>-2.5000000000000001E-2</v>
      </c>
      <c r="H41" s="111" t="s">
        <v>148</v>
      </c>
    </row>
    <row r="42" spans="3:9" ht="15.6" x14ac:dyDescent="0.6">
      <c r="C42" s="27" t="s">
        <v>145</v>
      </c>
      <c r="D42" s="31"/>
      <c r="E42" s="136">
        <f t="shared" ref="E42" si="5">E19</f>
        <v>40</v>
      </c>
      <c r="F42" s="153">
        <f t="shared" si="2"/>
        <v>39</v>
      </c>
      <c r="G42" s="141">
        <f t="shared" si="3"/>
        <v>-2.5000000000000001E-2</v>
      </c>
      <c r="H42" s="111" t="s">
        <v>148</v>
      </c>
    </row>
    <row r="43" spans="3:9" ht="15.6" x14ac:dyDescent="0.6">
      <c r="C43" s="27" t="s">
        <v>77</v>
      </c>
      <c r="D43" s="31"/>
      <c r="E43" s="137">
        <f>E20</f>
        <v>6.36</v>
      </c>
      <c r="F43" s="154">
        <f t="shared" si="2"/>
        <v>6.2010000000000005</v>
      </c>
      <c r="G43" s="141">
        <f t="shared" si="3"/>
        <v>-2.499999999999997E-2</v>
      </c>
      <c r="H43" s="111" t="s">
        <v>96</v>
      </c>
    </row>
    <row r="44" spans="3:9" ht="15.6" x14ac:dyDescent="0.6">
      <c r="C44" s="316" t="s">
        <v>146</v>
      </c>
      <c r="D44" s="317"/>
      <c r="E44" s="318">
        <f>E21</f>
        <v>9</v>
      </c>
      <c r="F44" s="319">
        <f t="shared" si="2"/>
        <v>9.0562500000000004</v>
      </c>
      <c r="G44" s="155">
        <f t="shared" si="3"/>
        <v>6.2500000000000394E-3</v>
      </c>
      <c r="H44" s="111" t="s">
        <v>326</v>
      </c>
    </row>
    <row r="45" spans="3:9" ht="15.6" x14ac:dyDescent="0.6">
      <c r="C45" s="20" t="s">
        <v>142</v>
      </c>
      <c r="F45" s="19"/>
    </row>
    <row r="46" spans="3:9" ht="15.6" x14ac:dyDescent="0.6">
      <c r="C46" s="20"/>
      <c r="F46" s="19"/>
    </row>
  </sheetData>
  <mergeCells count="5">
    <mergeCell ref="E33:E35"/>
    <mergeCell ref="F10:G10"/>
    <mergeCell ref="F32:G32"/>
    <mergeCell ref="E11:E12"/>
    <mergeCell ref="F11:F12"/>
  </mergeCells>
  <pageMargins left="0.70866141732283472" right="0.31496062992125984" top="0.74803149606299213" bottom="0.55118110236220474" header="0.31496062992125984" footer="0.31496062992125984"/>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2"/>
  <sheetViews>
    <sheetView showGridLines="0" zoomScale="90" zoomScaleNormal="90" workbookViewId="0">
      <selection activeCell="C70" sqref="C70"/>
    </sheetView>
  </sheetViews>
  <sheetFormatPr defaultColWidth="9.29296875" defaultRowHeight="12.6" x14ac:dyDescent="0.45"/>
  <cols>
    <col min="1" max="1" width="1.8203125" style="7" customWidth="1"/>
    <col min="2" max="2" width="5.17578125" style="7" customWidth="1"/>
    <col min="3" max="3" width="32.17578125" style="7" customWidth="1"/>
    <col min="4" max="4" width="9.46875" style="7" customWidth="1"/>
    <col min="5" max="5" width="15.17578125" style="7" customWidth="1"/>
    <col min="6" max="6" width="14.8203125" style="7" customWidth="1"/>
    <col min="7" max="7" width="13.703125" style="7" customWidth="1"/>
    <col min="8" max="8" width="11.17578125" style="7" customWidth="1"/>
    <col min="9" max="9" width="11.29296875" style="7" customWidth="1"/>
    <col min="10" max="10" width="11" style="7" customWidth="1"/>
    <col min="11" max="11" width="15" style="7" customWidth="1"/>
    <col min="12" max="12" width="12.29296875" style="7" customWidth="1"/>
    <col min="13" max="18" width="15.703125" style="7" customWidth="1"/>
    <col min="19" max="16384" width="9.29296875" style="7"/>
  </cols>
  <sheetData>
    <row r="1" spans="1:16" ht="20.399999999999999" x14ac:dyDescent="0.75">
      <c r="A1" s="93" t="s">
        <v>161</v>
      </c>
      <c r="B1" s="249"/>
      <c r="C1" s="19"/>
      <c r="D1" s="19"/>
      <c r="E1" s="19"/>
      <c r="F1" s="19"/>
      <c r="G1" s="19"/>
      <c r="H1" s="19"/>
      <c r="I1" s="19"/>
      <c r="J1" s="19"/>
      <c r="K1" s="19"/>
      <c r="L1" s="19"/>
      <c r="M1" s="19"/>
      <c r="N1" s="19"/>
      <c r="O1" s="19"/>
      <c r="P1" s="19"/>
    </row>
    <row r="2" spans="1:16" ht="7" customHeight="1" x14ac:dyDescent="0.6">
      <c r="B2" s="19"/>
      <c r="C2" s="19"/>
      <c r="D2" s="19"/>
      <c r="E2" s="19"/>
      <c r="F2" s="19"/>
      <c r="G2" s="19"/>
      <c r="H2" s="19"/>
      <c r="I2" s="19"/>
      <c r="J2" s="19"/>
      <c r="K2" s="19"/>
      <c r="L2" s="19"/>
      <c r="M2" s="19"/>
      <c r="N2" s="19"/>
      <c r="O2" s="19"/>
      <c r="P2" s="19"/>
    </row>
    <row r="3" spans="1:16" ht="15.6" x14ac:dyDescent="0.6">
      <c r="B3" s="19" t="s">
        <v>327</v>
      </c>
      <c r="D3" s="19"/>
      <c r="E3" s="19"/>
      <c r="F3" s="19"/>
      <c r="G3" s="19"/>
      <c r="H3" s="19"/>
      <c r="I3" s="19"/>
      <c r="J3" s="19"/>
      <c r="K3" s="19"/>
      <c r="L3" s="19"/>
      <c r="M3" s="19"/>
      <c r="N3" s="19"/>
      <c r="O3" s="19"/>
      <c r="P3" s="19"/>
    </row>
    <row r="4" spans="1:16" ht="7.5" customHeight="1" x14ac:dyDescent="0.6">
      <c r="B4" s="22"/>
      <c r="C4" s="19"/>
      <c r="D4" s="19"/>
      <c r="E4" s="19"/>
      <c r="F4" s="19"/>
      <c r="G4" s="19"/>
      <c r="H4" s="19"/>
      <c r="I4" s="19"/>
      <c r="J4" s="19"/>
      <c r="K4" s="19"/>
      <c r="L4" s="19"/>
      <c r="M4" s="19"/>
      <c r="N4" s="19"/>
      <c r="O4" s="19"/>
      <c r="P4" s="19"/>
    </row>
    <row r="5" spans="1:16" ht="15.6" x14ac:dyDescent="0.6">
      <c r="B5" s="19" t="s">
        <v>152</v>
      </c>
      <c r="C5" s="19"/>
      <c r="D5" s="19"/>
      <c r="E5" s="19"/>
      <c r="F5" s="19"/>
      <c r="G5" s="19"/>
      <c r="H5" s="19"/>
      <c r="I5" s="19"/>
      <c r="J5" s="19"/>
      <c r="K5" s="19"/>
      <c r="L5" s="19"/>
      <c r="M5" s="19"/>
      <c r="N5" s="19"/>
      <c r="O5" s="19"/>
      <c r="P5" s="19"/>
    </row>
    <row r="6" spans="1:16" ht="15.6" x14ac:dyDescent="0.6">
      <c r="B6" s="170" t="s">
        <v>112</v>
      </c>
      <c r="D6" s="116" t="s">
        <v>153</v>
      </c>
      <c r="J6" s="19"/>
      <c r="K6" s="19"/>
      <c r="L6" s="19"/>
      <c r="M6" s="19"/>
      <c r="N6" s="19"/>
      <c r="O6" s="19"/>
      <c r="P6" s="19"/>
    </row>
    <row r="7" spans="1:16" ht="15.6" x14ac:dyDescent="0.6">
      <c r="B7" s="170"/>
      <c r="D7" s="51" t="s">
        <v>113</v>
      </c>
      <c r="J7" s="19"/>
      <c r="K7" s="19"/>
      <c r="L7" s="19"/>
      <c r="M7" s="19"/>
      <c r="N7" s="19"/>
      <c r="O7" s="19"/>
      <c r="P7" s="19"/>
    </row>
    <row r="8" spans="1:16" ht="15.6" x14ac:dyDescent="0.6">
      <c r="B8" s="170" t="s">
        <v>114</v>
      </c>
      <c r="D8" s="116" t="s">
        <v>154</v>
      </c>
      <c r="J8" s="19"/>
      <c r="K8" s="19"/>
      <c r="L8" s="19"/>
      <c r="M8" s="19"/>
      <c r="N8" s="19"/>
      <c r="O8" s="19"/>
      <c r="P8" s="19"/>
    </row>
    <row r="9" spans="1:16" ht="15.6" x14ac:dyDescent="0.6">
      <c r="B9" s="170"/>
      <c r="D9" s="51" t="s">
        <v>117</v>
      </c>
      <c r="J9" s="19"/>
      <c r="K9" s="19"/>
      <c r="L9" s="19"/>
      <c r="M9" s="19"/>
      <c r="N9" s="19"/>
      <c r="O9" s="19"/>
      <c r="P9" s="19"/>
    </row>
    <row r="10" spans="1:16" ht="15.6" x14ac:dyDescent="0.6">
      <c r="B10" s="170"/>
      <c r="D10" s="51" t="s">
        <v>115</v>
      </c>
      <c r="J10" s="19"/>
      <c r="K10" s="19"/>
      <c r="L10" s="19"/>
      <c r="M10" s="19"/>
      <c r="N10" s="19"/>
      <c r="O10" s="19"/>
      <c r="P10" s="19"/>
    </row>
    <row r="11" spans="1:16" ht="15.6" x14ac:dyDescent="0.6">
      <c r="B11" s="170"/>
      <c r="D11" s="51" t="s">
        <v>120</v>
      </c>
      <c r="J11" s="19"/>
      <c r="K11" s="19"/>
      <c r="L11" s="19"/>
      <c r="M11" s="19"/>
      <c r="N11" s="19"/>
      <c r="O11" s="19"/>
      <c r="P11" s="19"/>
    </row>
    <row r="12" spans="1:16" ht="15.6" x14ac:dyDescent="0.6">
      <c r="B12" s="170" t="s">
        <v>116</v>
      </c>
      <c r="D12" s="116" t="s">
        <v>155</v>
      </c>
      <c r="J12" s="19"/>
      <c r="K12" s="19"/>
      <c r="L12" s="19"/>
      <c r="M12" s="19"/>
      <c r="N12" s="19"/>
      <c r="O12" s="19"/>
      <c r="P12" s="19"/>
    </row>
    <row r="13" spans="1:16" ht="15.6" x14ac:dyDescent="0.6">
      <c r="B13" s="22"/>
      <c r="C13" s="19"/>
      <c r="D13" s="116" t="s">
        <v>118</v>
      </c>
      <c r="J13" s="19"/>
      <c r="K13" s="19"/>
      <c r="L13" s="19"/>
      <c r="M13" s="19"/>
      <c r="N13" s="19"/>
      <c r="O13" s="19"/>
      <c r="P13" s="19"/>
    </row>
    <row r="14" spans="1:16" ht="4" customHeight="1" x14ac:dyDescent="0.6">
      <c r="B14" s="22"/>
      <c r="C14" s="19"/>
      <c r="D14" s="19"/>
      <c r="E14" s="19"/>
      <c r="F14" s="19"/>
      <c r="G14" s="19"/>
      <c r="H14" s="19"/>
      <c r="I14" s="19"/>
      <c r="J14" s="19"/>
      <c r="K14" s="19"/>
      <c r="L14" s="19"/>
      <c r="M14" s="19"/>
      <c r="N14" s="19"/>
      <c r="O14" s="19"/>
      <c r="P14" s="19"/>
    </row>
    <row r="15" spans="1:16" ht="15.6" x14ac:dyDescent="0.6">
      <c r="B15" s="19" t="s">
        <v>140</v>
      </c>
      <c r="C15" s="119" t="s">
        <v>149</v>
      </c>
      <c r="D15" s="130"/>
      <c r="E15" s="19" t="s">
        <v>156</v>
      </c>
      <c r="F15" s="19"/>
      <c r="G15" s="19"/>
      <c r="H15" s="19"/>
      <c r="I15" s="19"/>
      <c r="K15"/>
      <c r="L15" s="19"/>
      <c r="M15" s="19"/>
      <c r="N15" s="19"/>
      <c r="O15" s="19"/>
      <c r="P15" s="19"/>
    </row>
    <row r="16" spans="1:16" ht="9" customHeight="1" x14ac:dyDescent="0.6">
      <c r="B16" s="22"/>
      <c r="C16" s="19"/>
      <c r="D16" s="19"/>
      <c r="E16" s="19"/>
      <c r="F16" s="19"/>
      <c r="G16" s="19"/>
      <c r="H16" s="19"/>
      <c r="I16" s="19"/>
      <c r="J16" s="19"/>
      <c r="K16" s="19"/>
      <c r="L16" s="19"/>
      <c r="M16" s="19"/>
      <c r="N16" s="19"/>
      <c r="O16" s="19"/>
      <c r="P16" s="19"/>
    </row>
    <row r="17" spans="1:15" ht="18.3" x14ac:dyDescent="0.7">
      <c r="A17" s="51"/>
      <c r="B17" s="25" t="s">
        <v>179</v>
      </c>
      <c r="C17" s="52"/>
      <c r="D17" s="52"/>
      <c r="E17" s="52"/>
      <c r="F17" s="52"/>
      <c r="G17" s="52"/>
      <c r="H17" s="52"/>
      <c r="I17" s="52"/>
      <c r="J17" s="52"/>
      <c r="K17" s="19"/>
      <c r="L17" s="52"/>
      <c r="M17" s="51"/>
      <c r="N17" s="51"/>
      <c r="O17" s="51"/>
    </row>
    <row r="18" spans="1:15" ht="15.6" x14ac:dyDescent="0.6">
      <c r="A18" s="51"/>
      <c r="B18" s="170" t="s">
        <v>68</v>
      </c>
      <c r="C18" s="52"/>
      <c r="D18" s="52"/>
      <c r="E18" s="52"/>
      <c r="F18" s="52"/>
      <c r="G18" s="52"/>
      <c r="H18" s="52"/>
      <c r="I18" s="52"/>
      <c r="J18" s="52"/>
      <c r="K18" s="52"/>
      <c r="L18" s="52"/>
      <c r="M18" s="51"/>
      <c r="N18" s="51"/>
      <c r="O18" s="51"/>
    </row>
    <row r="19" spans="1:15" ht="15.6" x14ac:dyDescent="0.6">
      <c r="A19" s="51"/>
      <c r="B19" s="170" t="s">
        <v>169</v>
      </c>
      <c r="C19" s="52"/>
      <c r="D19" s="52"/>
      <c r="E19" s="52"/>
      <c r="F19" s="52"/>
      <c r="G19" s="52"/>
      <c r="H19" s="52"/>
      <c r="I19" s="52"/>
      <c r="J19" s="52"/>
      <c r="K19" s="52"/>
      <c r="L19" s="52"/>
      <c r="M19" s="51"/>
      <c r="N19" s="51"/>
      <c r="O19" s="51"/>
    </row>
    <row r="20" spans="1:15" ht="15.6" x14ac:dyDescent="0.6">
      <c r="A20" s="51"/>
      <c r="B20" s="170" t="s">
        <v>244</v>
      </c>
      <c r="C20" s="52"/>
      <c r="D20" s="52"/>
      <c r="E20" s="52"/>
      <c r="F20" s="52"/>
      <c r="G20" s="52"/>
      <c r="H20" s="52"/>
      <c r="I20" s="52"/>
      <c r="J20" s="52"/>
      <c r="K20" s="52"/>
      <c r="L20" s="52"/>
      <c r="M20" s="51"/>
      <c r="N20" s="51"/>
      <c r="O20" s="51"/>
    </row>
    <row r="21" spans="1:15" ht="12.9" x14ac:dyDescent="0.5">
      <c r="A21" s="51"/>
      <c r="B21" s="246" t="s">
        <v>328</v>
      </c>
      <c r="C21" s="52"/>
      <c r="D21" s="52"/>
      <c r="E21" s="52"/>
      <c r="F21" s="52"/>
      <c r="G21" s="52"/>
      <c r="H21" s="52"/>
      <c r="I21" s="52"/>
      <c r="J21" s="52"/>
      <c r="K21" s="52"/>
      <c r="L21" s="52"/>
      <c r="M21" s="51"/>
      <c r="N21" s="51"/>
      <c r="O21" s="51"/>
    </row>
    <row r="22" spans="1:15" ht="12.9" x14ac:dyDescent="0.5">
      <c r="A22" s="51"/>
      <c r="B22" s="246" t="s">
        <v>329</v>
      </c>
      <c r="C22" s="52"/>
      <c r="D22" s="52"/>
      <c r="E22" s="52"/>
      <c r="F22" s="52"/>
      <c r="G22" s="52"/>
      <c r="H22" s="52"/>
      <c r="I22" s="52"/>
      <c r="J22" s="52"/>
      <c r="K22" s="52"/>
      <c r="L22" s="52"/>
      <c r="M22" s="51"/>
      <c r="N22" s="51"/>
      <c r="O22" s="51"/>
    </row>
    <row r="23" spans="1:15" ht="12.9" x14ac:dyDescent="0.5">
      <c r="A23" s="51"/>
      <c r="B23" s="246" t="s">
        <v>330</v>
      </c>
      <c r="C23" s="52"/>
      <c r="D23" s="52"/>
      <c r="E23" s="52"/>
      <c r="F23" s="52"/>
      <c r="G23" s="52"/>
      <c r="H23" s="52"/>
      <c r="I23" s="52"/>
      <c r="J23" s="52"/>
      <c r="K23" s="52"/>
      <c r="L23" s="52"/>
      <c r="M23" s="51"/>
      <c r="N23" s="51"/>
      <c r="O23" s="51"/>
    </row>
    <row r="24" spans="1:15" ht="12.9" x14ac:dyDescent="0.5">
      <c r="A24" s="51"/>
      <c r="B24" s="377" t="s">
        <v>331</v>
      </c>
      <c r="C24" s="52"/>
      <c r="D24" s="52"/>
      <c r="E24" s="52"/>
      <c r="F24" s="52"/>
      <c r="G24" s="52"/>
      <c r="H24" s="52"/>
      <c r="I24" s="52"/>
      <c r="J24" s="52"/>
      <c r="K24" s="52"/>
      <c r="L24" s="52"/>
      <c r="M24" s="51"/>
      <c r="N24" s="51"/>
      <c r="O24" s="51"/>
    </row>
    <row r="25" spans="1:15" ht="8.5" customHeight="1" x14ac:dyDescent="0.6">
      <c r="A25" s="51"/>
      <c r="B25" s="19"/>
      <c r="C25" s="52"/>
      <c r="D25" s="52"/>
      <c r="E25" s="52"/>
      <c r="F25" s="52"/>
      <c r="G25" s="52"/>
      <c r="H25" s="52"/>
      <c r="I25" s="52"/>
      <c r="J25" s="52"/>
      <c r="K25" s="52"/>
      <c r="L25" s="52"/>
      <c r="M25" s="51"/>
      <c r="N25" s="51"/>
      <c r="O25" s="51"/>
    </row>
    <row r="26" spans="1:15" ht="15.6" x14ac:dyDescent="0.6">
      <c r="A26" s="51"/>
      <c r="B26" s="56" t="s">
        <v>70</v>
      </c>
      <c r="C26" s="68"/>
      <c r="D26" s="68"/>
      <c r="E26" s="68"/>
      <c r="F26" s="68"/>
      <c r="G26" s="68"/>
      <c r="H26" s="133" t="s">
        <v>38</v>
      </c>
      <c r="I26" s="133" t="s">
        <v>171</v>
      </c>
      <c r="J26" s="133" t="s">
        <v>46</v>
      </c>
      <c r="K26" s="52"/>
      <c r="L26" s="51"/>
      <c r="M26" s="51"/>
      <c r="N26" s="51"/>
    </row>
    <row r="27" spans="1:15" ht="15.6" x14ac:dyDescent="0.6">
      <c r="A27" s="51"/>
      <c r="B27" s="66"/>
      <c r="C27" s="67"/>
      <c r="D27" s="67"/>
      <c r="E27" s="67"/>
      <c r="F27" s="67"/>
      <c r="G27" s="67"/>
      <c r="H27" s="198" t="s">
        <v>69</v>
      </c>
      <c r="I27" s="198" t="s">
        <v>69</v>
      </c>
      <c r="J27" s="198" t="s">
        <v>69</v>
      </c>
      <c r="K27" s="51"/>
      <c r="L27" s="51"/>
      <c r="M27" s="51"/>
    </row>
    <row r="28" spans="1:15" ht="15.6" x14ac:dyDescent="0.6">
      <c r="A28" s="51"/>
      <c r="B28" s="59" t="s">
        <v>245</v>
      </c>
      <c r="C28" s="34"/>
      <c r="D28" s="34"/>
      <c r="E28" s="34"/>
      <c r="F28" s="71"/>
      <c r="G28" s="71"/>
      <c r="H28" s="174"/>
      <c r="I28" s="174"/>
      <c r="J28" s="72"/>
      <c r="K28" s="51"/>
      <c r="L28" s="51"/>
      <c r="M28" s="51"/>
    </row>
    <row r="29" spans="1:15" ht="15.6" x14ac:dyDescent="0.6">
      <c r="A29" s="51"/>
      <c r="B29" s="54"/>
      <c r="C29" s="34" t="s">
        <v>31</v>
      </c>
      <c r="D29" s="187">
        <v>350</v>
      </c>
      <c r="E29" s="52" t="s">
        <v>170</v>
      </c>
      <c r="F29" s="181">
        <v>30</v>
      </c>
      <c r="G29" s="195" t="s">
        <v>172</v>
      </c>
      <c r="H29" s="175">
        <f>8*F29/D29</f>
        <v>0.68571428571428572</v>
      </c>
      <c r="I29" s="174"/>
      <c r="J29" s="175">
        <f>H29+I29</f>
        <v>0.68571428571428572</v>
      </c>
      <c r="K29" s="51"/>
      <c r="L29" s="51"/>
      <c r="M29" s="51"/>
    </row>
    <row r="30" spans="1:15" ht="15.6" x14ac:dyDescent="0.6">
      <c r="A30" s="51"/>
      <c r="B30" s="182" t="s">
        <v>246</v>
      </c>
      <c r="C30" s="81"/>
      <c r="D30" s="183"/>
      <c r="E30" s="97"/>
      <c r="F30" s="183"/>
      <c r="G30" s="196"/>
      <c r="H30" s="82"/>
      <c r="I30" s="82"/>
      <c r="J30" s="184"/>
      <c r="K30" s="51"/>
      <c r="L30" s="51"/>
      <c r="M30" s="51"/>
    </row>
    <row r="31" spans="1:15" ht="15.6" x14ac:dyDescent="0.6">
      <c r="A31" s="51"/>
      <c r="B31" s="55"/>
      <c r="C31" s="53" t="s">
        <v>31</v>
      </c>
      <c r="D31" s="188">
        <v>200</v>
      </c>
      <c r="E31" s="192" t="s">
        <v>170</v>
      </c>
      <c r="F31" s="162">
        <v>30</v>
      </c>
      <c r="G31" s="197" t="s">
        <v>172</v>
      </c>
      <c r="H31" s="180">
        <f>8*F31/D31</f>
        <v>1.2</v>
      </c>
      <c r="I31" s="185"/>
      <c r="J31" s="180">
        <f>H31+I31</f>
        <v>1.2</v>
      </c>
      <c r="K31" s="51"/>
      <c r="L31" s="51"/>
      <c r="M31" s="51"/>
    </row>
    <row r="32" spans="1:15" ht="15.6" x14ac:dyDescent="0.6">
      <c r="A32" s="51"/>
      <c r="B32" s="59" t="s">
        <v>247</v>
      </c>
      <c r="C32" s="34"/>
      <c r="D32" s="71"/>
      <c r="E32" s="52"/>
      <c r="F32" s="34"/>
      <c r="G32" s="98"/>
      <c r="H32" s="174"/>
      <c r="I32" s="174"/>
      <c r="J32" s="171"/>
      <c r="K32" s="51"/>
      <c r="L32" s="51"/>
      <c r="M32" s="51"/>
    </row>
    <row r="33" spans="1:13" ht="15.6" x14ac:dyDescent="0.6">
      <c r="A33" s="51"/>
      <c r="B33" s="57"/>
      <c r="C33" s="34" t="s">
        <v>38</v>
      </c>
      <c r="D33" s="188">
        <v>1000</v>
      </c>
      <c r="E33" s="52" t="s">
        <v>170</v>
      </c>
      <c r="F33" s="162">
        <v>30</v>
      </c>
      <c r="G33" s="195" t="s">
        <v>172</v>
      </c>
      <c r="H33" s="175">
        <f>8*F33/D33</f>
        <v>0.24</v>
      </c>
      <c r="I33" s="174"/>
      <c r="J33" s="175">
        <f>H33+I33</f>
        <v>0.24</v>
      </c>
      <c r="K33" s="51"/>
      <c r="L33" s="51"/>
      <c r="M33" s="51"/>
    </row>
    <row r="34" spans="1:13" ht="15.6" x14ac:dyDescent="0.6">
      <c r="A34" s="51"/>
      <c r="B34" s="54"/>
      <c r="C34" s="34" t="s">
        <v>32</v>
      </c>
      <c r="D34" s="376">
        <v>2.5</v>
      </c>
      <c r="E34" s="193" t="s">
        <v>73</v>
      </c>
      <c r="F34" s="162">
        <v>35</v>
      </c>
      <c r="G34" s="195" t="s">
        <v>173</v>
      </c>
      <c r="H34" s="174"/>
      <c r="I34" s="175">
        <f>D34*F34/1000</f>
        <v>8.7499999999999994E-2</v>
      </c>
      <c r="J34" s="175">
        <f t="shared" ref="J34:J35" si="0">H34+I34</f>
        <v>8.7499999999999994E-2</v>
      </c>
      <c r="K34" s="51"/>
      <c r="L34" s="51"/>
      <c r="M34" s="51"/>
    </row>
    <row r="35" spans="1:13" ht="15.6" x14ac:dyDescent="0.6">
      <c r="A35" s="51"/>
      <c r="B35" s="54"/>
      <c r="C35" s="34" t="s">
        <v>33</v>
      </c>
      <c r="D35" s="376">
        <v>0</v>
      </c>
      <c r="E35" s="193" t="s">
        <v>175</v>
      </c>
      <c r="F35" s="162">
        <v>0</v>
      </c>
      <c r="G35" s="195" t="s">
        <v>174</v>
      </c>
      <c r="H35" s="176"/>
      <c r="I35" s="177">
        <f>D35*F35/1000</f>
        <v>0</v>
      </c>
      <c r="J35" s="177">
        <f t="shared" si="0"/>
        <v>0</v>
      </c>
      <c r="K35" s="51"/>
      <c r="L35" s="51"/>
      <c r="M35" s="51"/>
    </row>
    <row r="36" spans="1:13" ht="15.6" x14ac:dyDescent="0.6">
      <c r="A36" s="51"/>
      <c r="B36" s="54"/>
      <c r="C36" s="34"/>
      <c r="D36" s="71"/>
      <c r="E36" s="52"/>
      <c r="F36" s="71"/>
      <c r="G36" s="98"/>
      <c r="H36" s="178">
        <f>SUM(H33:H35)</f>
        <v>0.24</v>
      </c>
      <c r="I36" s="178">
        <f>SUM(I33:I35)</f>
        <v>8.7499999999999994E-2</v>
      </c>
      <c r="J36" s="175">
        <f>SUM(J33:J35)</f>
        <v>0.32750000000000001</v>
      </c>
      <c r="K36" s="51"/>
      <c r="L36" s="51"/>
      <c r="M36" s="51"/>
    </row>
    <row r="37" spans="1:13" ht="15.6" x14ac:dyDescent="0.6">
      <c r="A37" s="51"/>
      <c r="B37" s="182" t="s">
        <v>248</v>
      </c>
      <c r="C37" s="81"/>
      <c r="D37" s="183"/>
      <c r="E37" s="97"/>
      <c r="F37" s="81"/>
      <c r="G37" s="112"/>
      <c r="H37" s="82"/>
      <c r="I37" s="82"/>
      <c r="J37" s="184"/>
      <c r="K37" s="51"/>
      <c r="L37" s="51"/>
      <c r="M37" s="51"/>
    </row>
    <row r="38" spans="1:13" ht="15.6" x14ac:dyDescent="0.6">
      <c r="A38" s="51"/>
      <c r="B38" s="57"/>
      <c r="C38" s="34" t="s">
        <v>38</v>
      </c>
      <c r="D38" s="188">
        <v>500</v>
      </c>
      <c r="E38" s="52" t="s">
        <v>170</v>
      </c>
      <c r="F38" s="162">
        <v>30</v>
      </c>
      <c r="G38" s="195" t="s">
        <v>172</v>
      </c>
      <c r="H38" s="175">
        <f>8*F38/D38</f>
        <v>0.48</v>
      </c>
      <c r="I38" s="174"/>
      <c r="J38" s="175">
        <f>H38+I38</f>
        <v>0.48</v>
      </c>
      <c r="K38" s="51"/>
      <c r="L38" s="51"/>
      <c r="M38" s="51"/>
    </row>
    <row r="39" spans="1:13" ht="15.6" x14ac:dyDescent="0.6">
      <c r="A39" s="51"/>
      <c r="B39" s="54"/>
      <c r="C39" s="34" t="s">
        <v>32</v>
      </c>
      <c r="D39" s="376">
        <v>2.5</v>
      </c>
      <c r="E39" s="193" t="s">
        <v>73</v>
      </c>
      <c r="F39" s="162">
        <v>35</v>
      </c>
      <c r="G39" s="195" t="s">
        <v>173</v>
      </c>
      <c r="H39" s="174"/>
      <c r="I39" s="175">
        <f>D39*F39/1000</f>
        <v>8.7499999999999994E-2</v>
      </c>
      <c r="J39" s="175">
        <f t="shared" ref="J39:J40" si="1">H39+I39</f>
        <v>8.7499999999999994E-2</v>
      </c>
      <c r="K39" s="51"/>
      <c r="L39" s="51"/>
      <c r="M39" s="51"/>
    </row>
    <row r="40" spans="1:13" ht="15.6" x14ac:dyDescent="0.6">
      <c r="A40" s="51"/>
      <c r="B40" s="54"/>
      <c r="C40" s="34" t="s">
        <v>33</v>
      </c>
      <c r="D40" s="376">
        <v>0</v>
      </c>
      <c r="E40" s="193" t="s">
        <v>175</v>
      </c>
      <c r="F40" s="162">
        <v>0</v>
      </c>
      <c r="G40" s="195" t="s">
        <v>174</v>
      </c>
      <c r="H40" s="176"/>
      <c r="I40" s="177">
        <f>D40*F40/1000</f>
        <v>0</v>
      </c>
      <c r="J40" s="177">
        <f t="shared" si="1"/>
        <v>0</v>
      </c>
      <c r="K40" s="51"/>
      <c r="L40" s="51"/>
      <c r="M40" s="51"/>
    </row>
    <row r="41" spans="1:13" ht="15.6" x14ac:dyDescent="0.6">
      <c r="A41" s="51"/>
      <c r="B41" s="55"/>
      <c r="C41" s="53"/>
      <c r="D41" s="204"/>
      <c r="E41" s="192"/>
      <c r="F41" s="204"/>
      <c r="G41" s="110"/>
      <c r="H41" s="205">
        <f>SUM(H38:H40)</f>
        <v>0.48</v>
      </c>
      <c r="I41" s="205">
        <f>SUM(I38:I40)</f>
        <v>8.7499999999999994E-2</v>
      </c>
      <c r="J41" s="180">
        <f>SUM(J38:J40)</f>
        <v>0.5675</v>
      </c>
      <c r="K41" s="51"/>
      <c r="L41" s="51"/>
      <c r="M41" s="51"/>
    </row>
    <row r="42" spans="1:13" ht="15.6" x14ac:dyDescent="0.6">
      <c r="A42" s="51"/>
      <c r="B42" s="182" t="s">
        <v>249</v>
      </c>
      <c r="C42" s="81"/>
      <c r="D42" s="189"/>
      <c r="E42" s="194"/>
      <c r="F42" s="186"/>
      <c r="G42" s="112"/>
      <c r="H42" s="82"/>
      <c r="I42" s="82"/>
      <c r="J42" s="184"/>
      <c r="K42" s="51"/>
      <c r="L42" s="51"/>
      <c r="M42" s="51"/>
    </row>
    <row r="43" spans="1:13" ht="15.6" x14ac:dyDescent="0.6">
      <c r="A43" s="51"/>
      <c r="B43" s="55"/>
      <c r="C43" s="53" t="s">
        <v>31</v>
      </c>
      <c r="D43" s="188">
        <v>350</v>
      </c>
      <c r="E43" s="192" t="s">
        <v>170</v>
      </c>
      <c r="F43" s="162">
        <v>30</v>
      </c>
      <c r="G43" s="197" t="s">
        <v>172</v>
      </c>
      <c r="H43" s="180">
        <f>8*F43/D43</f>
        <v>0.68571428571428572</v>
      </c>
      <c r="I43" s="185"/>
      <c r="J43" s="180">
        <f>H43+I43</f>
        <v>0.68571428571428572</v>
      </c>
      <c r="K43" s="10"/>
      <c r="L43" s="51"/>
      <c r="M43" s="51"/>
    </row>
    <row r="44" spans="1:13" ht="15.6" x14ac:dyDescent="0.6">
      <c r="A44" s="51"/>
      <c r="B44" s="59" t="s">
        <v>250</v>
      </c>
      <c r="C44" s="34"/>
      <c r="D44" s="71"/>
      <c r="E44" s="34"/>
      <c r="F44" s="71"/>
      <c r="G44" s="71"/>
      <c r="H44" s="174"/>
      <c r="I44" s="174"/>
      <c r="J44" s="171"/>
      <c r="K44" s="51"/>
      <c r="L44" s="51"/>
      <c r="M44" s="51"/>
    </row>
    <row r="45" spans="1:13" ht="15.6" x14ac:dyDescent="0.6">
      <c r="A45" s="51"/>
      <c r="B45" s="59"/>
      <c r="C45" s="34" t="s">
        <v>75</v>
      </c>
      <c r="D45" s="71"/>
      <c r="E45" s="34"/>
      <c r="F45" s="34"/>
      <c r="G45" s="34"/>
      <c r="H45" s="174"/>
      <c r="I45" s="174"/>
      <c r="J45" s="171"/>
      <c r="K45" s="51"/>
      <c r="L45" s="51"/>
      <c r="M45" s="51"/>
    </row>
    <row r="46" spans="1:13" ht="15.6" x14ac:dyDescent="0.6">
      <c r="A46" s="51"/>
      <c r="B46" s="59"/>
      <c r="C46" s="70" t="s">
        <v>34</v>
      </c>
      <c r="D46" s="191">
        <v>0</v>
      </c>
      <c r="E46" s="52" t="s">
        <v>177</v>
      </c>
      <c r="F46" s="172">
        <f>'Step 1'!D12+'Step 1'!D13+'Step 1'!G14+'Step 1'!G17+'Step 1'!G20</f>
        <v>10185</v>
      </c>
      <c r="G46" s="195" t="s">
        <v>178</v>
      </c>
      <c r="H46" s="174"/>
      <c r="I46" s="175">
        <f>D46/F46</f>
        <v>0</v>
      </c>
      <c r="J46" s="175">
        <f t="shared" ref="J46:J47" si="2">H46+I46</f>
        <v>0</v>
      </c>
      <c r="K46" s="51"/>
      <c r="L46" s="51"/>
      <c r="M46" s="51"/>
    </row>
    <row r="47" spans="1:13" ht="15.6" x14ac:dyDescent="0.6">
      <c r="A47" s="51"/>
      <c r="B47" s="54"/>
      <c r="C47" s="70" t="s">
        <v>37</v>
      </c>
      <c r="D47" s="191">
        <v>2500</v>
      </c>
      <c r="E47" s="52" t="s">
        <v>177</v>
      </c>
      <c r="F47" s="172">
        <f>F46</f>
        <v>10185</v>
      </c>
      <c r="G47" s="195" t="s">
        <v>178</v>
      </c>
      <c r="H47" s="174"/>
      <c r="I47" s="177">
        <f>D47/F47</f>
        <v>0.24545900834560627</v>
      </c>
      <c r="J47" s="177">
        <f t="shared" si="2"/>
        <v>0.24545900834560627</v>
      </c>
      <c r="K47" s="51"/>
      <c r="L47" s="51"/>
      <c r="M47" s="51"/>
    </row>
    <row r="48" spans="1:13" ht="15.6" x14ac:dyDescent="0.6">
      <c r="A48" s="51"/>
      <c r="B48" s="54"/>
      <c r="C48" s="34"/>
      <c r="D48" s="71"/>
      <c r="E48" s="52"/>
      <c r="F48" s="60"/>
      <c r="G48" s="98"/>
      <c r="H48" s="174"/>
      <c r="I48" s="178">
        <f>SUM(I46:I47)</f>
        <v>0.24545900834560627</v>
      </c>
      <c r="J48" s="178">
        <f>SUM(J46:J47)</f>
        <v>0.24545900834560627</v>
      </c>
      <c r="K48" s="51"/>
      <c r="L48" s="51"/>
      <c r="M48" s="51"/>
    </row>
    <row r="49" spans="1:15" ht="15.6" x14ac:dyDescent="0.6">
      <c r="A49" s="51"/>
      <c r="B49" s="54"/>
      <c r="C49" s="34" t="s">
        <v>184</v>
      </c>
      <c r="D49" s="71"/>
      <c r="E49" s="52"/>
      <c r="F49" s="34"/>
      <c r="G49" s="98"/>
      <c r="H49" s="174"/>
      <c r="I49" s="174"/>
      <c r="J49" s="171"/>
      <c r="K49" s="51"/>
      <c r="L49" s="51"/>
      <c r="M49" s="51"/>
    </row>
    <row r="50" spans="1:15" ht="15.6" x14ac:dyDescent="0.6">
      <c r="A50" s="51"/>
      <c r="B50" s="54"/>
      <c r="C50" s="70" t="s">
        <v>35</v>
      </c>
      <c r="D50" s="188">
        <v>500</v>
      </c>
      <c r="E50" s="52" t="s">
        <v>170</v>
      </c>
      <c r="F50" s="162">
        <v>30</v>
      </c>
      <c r="G50" s="195" t="s">
        <v>172</v>
      </c>
      <c r="H50" s="175">
        <f>8*F50/D50</f>
        <v>0.48</v>
      </c>
      <c r="I50" s="174"/>
      <c r="J50" s="175">
        <f>H50+I50</f>
        <v>0.48</v>
      </c>
      <c r="K50" s="51"/>
      <c r="L50" s="51"/>
      <c r="M50" s="51"/>
    </row>
    <row r="51" spans="1:15" ht="15.6" x14ac:dyDescent="0.6">
      <c r="A51" s="51"/>
      <c r="B51" s="54"/>
      <c r="C51" s="70" t="s">
        <v>71</v>
      </c>
      <c r="D51" s="71"/>
      <c r="F51" s="159">
        <v>2.12</v>
      </c>
      <c r="G51" s="195" t="s">
        <v>176</v>
      </c>
      <c r="H51" s="174"/>
      <c r="I51" s="174"/>
      <c r="J51" s="177">
        <f>F51</f>
        <v>2.12</v>
      </c>
      <c r="K51" s="51"/>
      <c r="L51" s="51"/>
      <c r="M51" s="51"/>
    </row>
    <row r="52" spans="1:15" ht="15.6" x14ac:dyDescent="0.6">
      <c r="A52" s="51"/>
      <c r="B52" s="55"/>
      <c r="C52" s="53"/>
      <c r="D52" s="190"/>
      <c r="E52" s="61"/>
      <c r="F52" s="62"/>
      <c r="G52" s="62"/>
      <c r="H52" s="180">
        <f>SUM(H50:H51)</f>
        <v>0.48</v>
      </c>
      <c r="I52" s="180">
        <f t="shared" ref="I52:J52" si="3">SUM(I50:I51)</f>
        <v>0</v>
      </c>
      <c r="J52" s="180">
        <f t="shared" si="3"/>
        <v>2.6</v>
      </c>
      <c r="K52" s="51"/>
      <c r="L52" s="51"/>
      <c r="M52" s="51"/>
    </row>
    <row r="53" spans="1:15" ht="15.6" x14ac:dyDescent="0.6">
      <c r="A53" s="51"/>
      <c r="B53" s="51" t="s">
        <v>323</v>
      </c>
      <c r="C53" s="23"/>
      <c r="D53" s="23"/>
      <c r="E53" s="23"/>
      <c r="F53" s="23"/>
      <c r="G53" s="23"/>
      <c r="H53" s="23"/>
      <c r="I53" s="23"/>
      <c r="J53" s="23"/>
      <c r="K53" s="23"/>
      <c r="L53" s="51"/>
      <c r="M53" s="51"/>
      <c r="N53" s="51"/>
    </row>
    <row r="54" spans="1:15" ht="15.6" x14ac:dyDescent="0.6">
      <c r="A54" s="51"/>
      <c r="B54" s="23"/>
      <c r="C54" s="23"/>
      <c r="D54" s="23"/>
      <c r="E54" s="23"/>
      <c r="F54" s="23"/>
      <c r="G54" s="23"/>
      <c r="H54" s="23"/>
      <c r="I54" s="23"/>
      <c r="J54" s="23"/>
      <c r="K54" s="23"/>
      <c r="L54" s="51"/>
      <c r="M54" s="51"/>
      <c r="N54" s="51"/>
    </row>
    <row r="55" spans="1:15" ht="18.3" x14ac:dyDescent="0.7">
      <c r="A55" s="51"/>
      <c r="B55" s="73" t="s">
        <v>208</v>
      </c>
      <c r="C55" s="23"/>
      <c r="D55" s="23"/>
      <c r="E55" s="23"/>
      <c r="F55" s="23"/>
      <c r="G55" s="23"/>
      <c r="H55" s="23"/>
      <c r="I55" s="23"/>
      <c r="J55" s="23"/>
      <c r="K55" s="23"/>
      <c r="L55" s="23"/>
      <c r="M55" s="51"/>
      <c r="N55" s="51"/>
      <c r="O55" s="51"/>
    </row>
    <row r="56" spans="1:15" ht="15.6" x14ac:dyDescent="0.6">
      <c r="A56" s="51"/>
      <c r="B56" s="361" t="s">
        <v>309</v>
      </c>
      <c r="C56" s="23"/>
      <c r="D56" s="23"/>
      <c r="E56" s="23"/>
      <c r="F56" s="23"/>
      <c r="G56" s="23"/>
      <c r="H56" s="23"/>
      <c r="I56" s="23"/>
      <c r="J56" s="23"/>
      <c r="K56" s="23"/>
      <c r="L56" s="23"/>
      <c r="M56" s="51"/>
      <c r="N56" s="51"/>
      <c r="O56" s="51"/>
    </row>
    <row r="57" spans="1:15" ht="15.6" x14ac:dyDescent="0.6">
      <c r="A57" s="51"/>
      <c r="B57" s="247" t="s">
        <v>333</v>
      </c>
      <c r="C57" s="23"/>
      <c r="D57" s="23"/>
      <c r="E57" s="23"/>
      <c r="F57" s="23"/>
      <c r="G57" s="23"/>
      <c r="H57" s="23"/>
      <c r="I57" s="23"/>
      <c r="J57" s="23"/>
      <c r="K57" s="23"/>
      <c r="L57" s="23"/>
      <c r="M57" s="51"/>
      <c r="N57" s="51"/>
      <c r="O57" s="51"/>
    </row>
    <row r="58" spans="1:15" ht="15.6" x14ac:dyDescent="0.6">
      <c r="A58" s="51"/>
      <c r="B58" s="77"/>
      <c r="C58" s="44"/>
      <c r="D58" s="212"/>
      <c r="E58" s="400" t="s">
        <v>81</v>
      </c>
      <c r="F58" s="401"/>
      <c r="G58" s="401"/>
      <c r="H58" s="401"/>
      <c r="I58" s="402"/>
      <c r="J58" s="51"/>
      <c r="K58" s="51"/>
    </row>
    <row r="59" spans="1:15" ht="16" customHeight="1" x14ac:dyDescent="0.6">
      <c r="A59" s="51"/>
      <c r="B59" s="49"/>
      <c r="C59" s="211"/>
      <c r="D59" s="213"/>
      <c r="E59" s="395" t="s">
        <v>308</v>
      </c>
      <c r="F59" s="395" t="s">
        <v>180</v>
      </c>
      <c r="G59" s="397" t="s">
        <v>194</v>
      </c>
      <c r="H59" s="398"/>
      <c r="I59" s="399"/>
      <c r="J59" s="51"/>
      <c r="K59" s="51"/>
    </row>
    <row r="60" spans="1:15" ht="16" customHeight="1" x14ac:dyDescent="0.6">
      <c r="A60" s="51"/>
      <c r="B60" s="47"/>
      <c r="C60" s="74"/>
      <c r="D60" s="214"/>
      <c r="E60" s="396"/>
      <c r="F60" s="396"/>
      <c r="G60" s="215" t="s">
        <v>191</v>
      </c>
      <c r="H60" s="245" t="s">
        <v>192</v>
      </c>
      <c r="I60" s="216" t="s">
        <v>193</v>
      </c>
      <c r="J60" s="51"/>
      <c r="K60" s="51"/>
    </row>
    <row r="61" spans="1:15" ht="17.5" customHeight="1" x14ac:dyDescent="0.6">
      <c r="A61" s="51"/>
      <c r="B61" s="78" t="s">
        <v>183</v>
      </c>
      <c r="C61" s="63"/>
      <c r="D61" s="63"/>
      <c r="E61" s="201" t="s">
        <v>182</v>
      </c>
      <c r="F61" s="201" t="s">
        <v>182</v>
      </c>
      <c r="G61" s="229" t="s">
        <v>182</v>
      </c>
      <c r="H61" s="230" t="s">
        <v>182</v>
      </c>
      <c r="I61" s="231" t="s">
        <v>182</v>
      </c>
      <c r="J61" s="51"/>
      <c r="K61" s="51"/>
    </row>
    <row r="62" spans="1:15" ht="13.5" customHeight="1" x14ac:dyDescent="0.6">
      <c r="A62" s="51"/>
      <c r="B62" s="203"/>
      <c r="D62" s="202"/>
      <c r="E62" s="403" t="s">
        <v>310</v>
      </c>
      <c r="F62" s="404"/>
      <c r="G62" s="404"/>
      <c r="H62" s="404"/>
      <c r="I62" s="405"/>
      <c r="J62" s="51"/>
      <c r="K62" s="51"/>
    </row>
    <row r="63" spans="1:15" ht="17.25" customHeight="1" x14ac:dyDescent="0.6">
      <c r="A63" s="51"/>
      <c r="B63" s="30" t="s">
        <v>36</v>
      </c>
      <c r="C63" s="79"/>
      <c r="D63" s="64"/>
      <c r="E63" s="200"/>
      <c r="F63" s="200"/>
      <c r="G63" s="232"/>
      <c r="H63" s="233"/>
      <c r="I63" s="234"/>
      <c r="J63" s="51"/>
      <c r="K63" s="51"/>
    </row>
    <row r="64" spans="1:15" ht="15.6" x14ac:dyDescent="0.6">
      <c r="A64" s="51"/>
      <c r="B64" s="30" t="s">
        <v>29</v>
      </c>
      <c r="C64" s="35"/>
      <c r="D64" s="64"/>
      <c r="E64" s="200">
        <v>1</v>
      </c>
      <c r="F64" s="200">
        <v>1</v>
      </c>
      <c r="G64" s="232">
        <v>1</v>
      </c>
      <c r="H64" s="233">
        <v>1</v>
      </c>
      <c r="I64" s="234"/>
      <c r="J64" s="51"/>
      <c r="K64" s="51"/>
    </row>
    <row r="65" spans="1:11" ht="15.6" x14ac:dyDescent="0.6">
      <c r="A65" s="51"/>
      <c r="B65" s="30" t="s">
        <v>185</v>
      </c>
      <c r="C65" s="35"/>
      <c r="D65" s="64"/>
      <c r="E65" s="200"/>
      <c r="F65" s="200"/>
      <c r="G65" s="232"/>
      <c r="H65" s="233"/>
      <c r="I65" s="234"/>
      <c r="J65" s="51"/>
      <c r="K65" s="51"/>
    </row>
    <row r="66" spans="1:11" ht="15.6" x14ac:dyDescent="0.6">
      <c r="A66" s="51"/>
      <c r="B66" s="30" t="s">
        <v>186</v>
      </c>
      <c r="C66" s="35"/>
      <c r="D66" s="64"/>
      <c r="E66" s="200">
        <v>3</v>
      </c>
      <c r="F66" s="200">
        <v>6</v>
      </c>
      <c r="G66" s="232">
        <v>6</v>
      </c>
      <c r="H66" s="233">
        <v>3</v>
      </c>
      <c r="I66" s="234"/>
      <c r="J66" s="51"/>
      <c r="K66" s="51"/>
    </row>
    <row r="67" spans="1:11" ht="15.6" x14ac:dyDescent="0.6">
      <c r="A67" s="51"/>
      <c r="B67" s="30" t="s">
        <v>30</v>
      </c>
      <c r="C67" s="35"/>
      <c r="D67" s="64"/>
      <c r="E67" s="200"/>
      <c r="F67" s="200">
        <v>4</v>
      </c>
      <c r="G67" s="232">
        <v>3</v>
      </c>
      <c r="H67" s="233">
        <v>3</v>
      </c>
      <c r="I67" s="234"/>
      <c r="J67" s="51"/>
      <c r="K67" s="51"/>
    </row>
    <row r="68" spans="1:11" ht="15.6" x14ac:dyDescent="0.6">
      <c r="A68" s="51"/>
      <c r="B68" s="30" t="s">
        <v>74</v>
      </c>
      <c r="C68" s="35"/>
      <c r="D68" s="64"/>
      <c r="E68" s="200"/>
      <c r="F68" s="200"/>
      <c r="G68" s="232">
        <v>1</v>
      </c>
      <c r="H68" s="233"/>
      <c r="I68" s="234"/>
      <c r="J68" s="51"/>
      <c r="K68" s="51"/>
    </row>
    <row r="69" spans="1:11" ht="15.6" x14ac:dyDescent="0.6">
      <c r="A69" s="51"/>
      <c r="B69" s="30" t="s">
        <v>189</v>
      </c>
      <c r="C69" s="35"/>
      <c r="D69" s="64"/>
      <c r="E69" s="200"/>
      <c r="F69" s="200"/>
      <c r="G69" s="232"/>
      <c r="H69" s="233"/>
      <c r="I69" s="234"/>
      <c r="J69" s="51"/>
      <c r="K69" s="51"/>
    </row>
    <row r="70" spans="1:11" ht="15.6" x14ac:dyDescent="0.6">
      <c r="A70" s="51"/>
      <c r="B70" s="36" t="s">
        <v>188</v>
      </c>
      <c r="C70" s="80"/>
      <c r="D70" s="65"/>
      <c r="E70" s="200"/>
      <c r="F70" s="200"/>
      <c r="G70" s="232">
        <v>2</v>
      </c>
      <c r="H70" s="378">
        <v>0.2</v>
      </c>
      <c r="I70" s="234"/>
      <c r="J70" s="51"/>
      <c r="K70" s="51"/>
    </row>
    <row r="71" spans="1:11" ht="15.6" x14ac:dyDescent="0.6">
      <c r="A71" s="51"/>
      <c r="B71" s="78" t="s">
        <v>187</v>
      </c>
      <c r="C71" s="81"/>
      <c r="D71" s="81"/>
      <c r="E71" s="206" t="s">
        <v>49</v>
      </c>
      <c r="F71" s="206" t="s">
        <v>49</v>
      </c>
      <c r="G71" s="235" t="s">
        <v>49</v>
      </c>
      <c r="H71" s="112" t="s">
        <v>49</v>
      </c>
      <c r="I71" s="236" t="s">
        <v>49</v>
      </c>
      <c r="J71" s="51"/>
      <c r="K71" s="51"/>
    </row>
    <row r="72" spans="1:11" ht="14.25" customHeight="1" x14ac:dyDescent="0.6">
      <c r="A72" s="51"/>
      <c r="B72" s="30" t="s">
        <v>36</v>
      </c>
      <c r="C72" s="79"/>
      <c r="D72" s="64"/>
      <c r="E72" s="207">
        <f>E63*$J$29</f>
        <v>0</v>
      </c>
      <c r="F72" s="207">
        <f t="shared" ref="F72:G72" si="4">F63*$J$29</f>
        <v>0</v>
      </c>
      <c r="G72" s="237">
        <f t="shared" si="4"/>
        <v>0</v>
      </c>
      <c r="H72" s="217">
        <f t="shared" ref="H72:I72" si="5">H63*$J$29</f>
        <v>0</v>
      </c>
      <c r="I72" s="238">
        <f t="shared" si="5"/>
        <v>0</v>
      </c>
      <c r="J72" s="51"/>
      <c r="K72" s="51"/>
    </row>
    <row r="73" spans="1:11" ht="15.6" x14ac:dyDescent="0.6">
      <c r="A73" s="51"/>
      <c r="B73" s="30" t="s">
        <v>29</v>
      </c>
      <c r="C73" s="35"/>
      <c r="D73" s="64"/>
      <c r="E73" s="207">
        <f>E64*$J$31</f>
        <v>1.2</v>
      </c>
      <c r="F73" s="207">
        <f t="shared" ref="F73:G73" si="6">F64*$J$31</f>
        <v>1.2</v>
      </c>
      <c r="G73" s="237">
        <f t="shared" si="6"/>
        <v>1.2</v>
      </c>
      <c r="H73" s="217">
        <f t="shared" ref="H73:I73" si="7">H64*$J$31</f>
        <v>1.2</v>
      </c>
      <c r="I73" s="238">
        <f t="shared" si="7"/>
        <v>0</v>
      </c>
      <c r="J73" s="51"/>
      <c r="K73" s="51"/>
    </row>
    <row r="74" spans="1:11" ht="15.6" x14ac:dyDescent="0.6">
      <c r="A74" s="51"/>
      <c r="B74" s="30" t="s">
        <v>185</v>
      </c>
      <c r="C74" s="35"/>
      <c r="D74" s="64"/>
      <c r="E74" s="207">
        <f>E65*SUM($J$36)</f>
        <v>0</v>
      </c>
      <c r="F74" s="207">
        <f>F65*SUM($J$36)</f>
        <v>0</v>
      </c>
      <c r="G74" s="237">
        <f>G65*SUM($J$36)</f>
        <v>0</v>
      </c>
      <c r="H74" s="217">
        <f>H65*SUM($J$36)</f>
        <v>0</v>
      </c>
      <c r="I74" s="238">
        <f>I65*SUM($J$36)</f>
        <v>0</v>
      </c>
      <c r="J74" s="51"/>
      <c r="K74" s="51"/>
    </row>
    <row r="75" spans="1:11" ht="15.6" x14ac:dyDescent="0.6">
      <c r="A75" s="51"/>
      <c r="B75" s="30" t="s">
        <v>186</v>
      </c>
      <c r="C75" s="35"/>
      <c r="D75" s="64"/>
      <c r="E75" s="207">
        <f>E66*$J$41</f>
        <v>1.7025000000000001</v>
      </c>
      <c r="F75" s="207">
        <f t="shared" ref="F75:G75" si="8">F66*$J$41</f>
        <v>3.4050000000000002</v>
      </c>
      <c r="G75" s="237">
        <f t="shared" si="8"/>
        <v>3.4050000000000002</v>
      </c>
      <c r="H75" s="217">
        <f t="shared" ref="H75:I75" si="9">H66*$J$41</f>
        <v>1.7025000000000001</v>
      </c>
      <c r="I75" s="238">
        <f t="shared" si="9"/>
        <v>0</v>
      </c>
      <c r="J75" s="51"/>
      <c r="K75" s="51"/>
    </row>
    <row r="76" spans="1:11" ht="15.6" x14ac:dyDescent="0.6">
      <c r="A76" s="51"/>
      <c r="B76" s="30" t="s">
        <v>30</v>
      </c>
      <c r="C76" s="31"/>
      <c r="D76" s="64"/>
      <c r="E76" s="207">
        <f>E67*$J$43</f>
        <v>0</v>
      </c>
      <c r="F76" s="207">
        <f t="shared" ref="F76:G76" si="10">F67*$J$43</f>
        <v>2.7428571428571429</v>
      </c>
      <c r="G76" s="237">
        <f t="shared" si="10"/>
        <v>2.0571428571428569</v>
      </c>
      <c r="H76" s="217">
        <f t="shared" ref="H76:I76" si="11">H67*$J$43</f>
        <v>2.0571428571428569</v>
      </c>
      <c r="I76" s="238">
        <f t="shared" si="11"/>
        <v>0</v>
      </c>
      <c r="J76" s="51"/>
      <c r="K76" s="51"/>
    </row>
    <row r="77" spans="1:11" ht="15.6" x14ac:dyDescent="0.6">
      <c r="A77" s="51"/>
      <c r="B77" s="30" t="s">
        <v>74</v>
      </c>
      <c r="C77" s="35"/>
      <c r="D77" s="64"/>
      <c r="E77" s="207"/>
      <c r="F77" s="207"/>
      <c r="G77" s="237">
        <f t="shared" ref="G77" si="12">G68*$J$48</f>
        <v>0.24545900834560627</v>
      </c>
      <c r="H77" s="217">
        <f t="shared" ref="H77:I77" si="13">H68*$J$48</f>
        <v>0</v>
      </c>
      <c r="I77" s="238">
        <f t="shared" si="13"/>
        <v>0</v>
      </c>
      <c r="J77" s="51"/>
      <c r="K77" s="51"/>
    </row>
    <row r="78" spans="1:11" ht="15.6" x14ac:dyDescent="0.6">
      <c r="A78" s="51"/>
      <c r="B78" s="30" t="s">
        <v>189</v>
      </c>
      <c r="C78" s="35"/>
      <c r="D78" s="64"/>
      <c r="E78" s="207"/>
      <c r="F78" s="207"/>
      <c r="G78" s="237">
        <f t="shared" ref="G78" si="14">G69*$J51</f>
        <v>0</v>
      </c>
      <c r="H78" s="217">
        <f t="shared" ref="H78:I78" si="15">H69*$J51</f>
        <v>0</v>
      </c>
      <c r="I78" s="238">
        <f t="shared" si="15"/>
        <v>0</v>
      </c>
      <c r="J78" s="51"/>
      <c r="K78" s="51"/>
    </row>
    <row r="79" spans="1:11" ht="15.6" x14ac:dyDescent="0.6">
      <c r="A79" s="51"/>
      <c r="B79" s="30" t="s">
        <v>188</v>
      </c>
      <c r="C79" s="70"/>
      <c r="D79" s="64"/>
      <c r="E79" s="208"/>
      <c r="F79" s="208"/>
      <c r="G79" s="239">
        <f t="shared" ref="G79" si="16">G70*$J52</f>
        <v>5.2</v>
      </c>
      <c r="H79" s="240">
        <f t="shared" ref="H79:I79" si="17">H70*$J52</f>
        <v>0.52</v>
      </c>
      <c r="I79" s="241">
        <f t="shared" si="17"/>
        <v>0</v>
      </c>
      <c r="J79" s="51"/>
      <c r="K79" s="51"/>
    </row>
    <row r="80" spans="1:11" ht="15.6" x14ac:dyDescent="0.6">
      <c r="A80" s="51"/>
      <c r="B80" s="18"/>
      <c r="C80" s="11"/>
      <c r="D80" s="83"/>
      <c r="E80" s="209">
        <f>SUM(E72:E79)</f>
        <v>2.9024999999999999</v>
      </c>
      <c r="F80" s="209">
        <f t="shared" ref="F80:I80" si="18">SUM(F72:F79)</f>
        <v>7.3478571428571433</v>
      </c>
      <c r="G80" s="242">
        <f t="shared" si="18"/>
        <v>12.107601865488464</v>
      </c>
      <c r="H80" s="243">
        <f t="shared" si="18"/>
        <v>5.4796428571428564</v>
      </c>
      <c r="I80" s="244">
        <f t="shared" si="18"/>
        <v>0</v>
      </c>
      <c r="J80" s="51"/>
      <c r="K80" s="51"/>
    </row>
    <row r="81" spans="1:11" ht="32.5" customHeight="1" x14ac:dyDescent="0.6">
      <c r="A81" s="51"/>
      <c r="B81" s="224" t="s">
        <v>195</v>
      </c>
      <c r="C81" s="9"/>
      <c r="D81" s="218"/>
      <c r="E81" s="199" t="s">
        <v>308</v>
      </c>
      <c r="F81" s="199" t="s">
        <v>180</v>
      </c>
      <c r="G81" s="199" t="s">
        <v>181</v>
      </c>
      <c r="H81" s="217"/>
      <c r="I81" s="217"/>
      <c r="J81" s="51"/>
      <c r="K81" s="51"/>
    </row>
    <row r="82" spans="1:11" ht="15.6" x14ac:dyDescent="0.6">
      <c r="A82" s="51"/>
      <c r="B82" s="225" t="s">
        <v>311</v>
      </c>
      <c r="C82" s="17"/>
      <c r="D82" s="58"/>
      <c r="E82" s="210">
        <f>$F46</f>
        <v>10185</v>
      </c>
      <c r="F82" s="210">
        <f>$F46</f>
        <v>10185</v>
      </c>
      <c r="G82" s="210">
        <f>$F46</f>
        <v>10185</v>
      </c>
      <c r="I82" s="51"/>
      <c r="J82" s="51"/>
      <c r="K82" s="51"/>
    </row>
    <row r="83" spans="1:11" ht="15.6" x14ac:dyDescent="0.6">
      <c r="A83" s="51"/>
      <c r="B83" s="373" t="s">
        <v>190</v>
      </c>
      <c r="C83" s="99"/>
      <c r="D83" s="58"/>
      <c r="E83" s="100"/>
      <c r="F83" s="200">
        <v>3</v>
      </c>
      <c r="G83" s="200">
        <v>2</v>
      </c>
      <c r="H83" s="7" t="s">
        <v>312</v>
      </c>
      <c r="I83" s="51"/>
      <c r="J83" s="51"/>
      <c r="K83" s="51"/>
    </row>
    <row r="84" spans="1:11" ht="15.6" x14ac:dyDescent="0.6">
      <c r="A84" s="51"/>
      <c r="B84" s="225" t="s">
        <v>196</v>
      </c>
      <c r="C84" s="99"/>
      <c r="D84" s="58"/>
      <c r="E84" s="106" t="s">
        <v>80</v>
      </c>
      <c r="F84" s="106" t="s">
        <v>80</v>
      </c>
      <c r="G84" s="106" t="s">
        <v>80</v>
      </c>
      <c r="I84" s="51"/>
      <c r="J84" s="51"/>
      <c r="K84" s="51"/>
    </row>
    <row r="85" spans="1:11" ht="6" customHeight="1" x14ac:dyDescent="0.6">
      <c r="A85" s="51"/>
      <c r="B85" s="17"/>
      <c r="C85" s="35"/>
      <c r="D85" s="13"/>
      <c r="E85" s="107"/>
      <c r="F85" s="107"/>
      <c r="G85" s="107"/>
      <c r="I85" s="51"/>
      <c r="J85" s="51"/>
      <c r="K85" s="51"/>
    </row>
    <row r="86" spans="1:11" ht="15.6" x14ac:dyDescent="0.6">
      <c r="A86" s="51"/>
      <c r="B86" s="99"/>
      <c r="C86" s="101">
        <v>1</v>
      </c>
      <c r="D86" s="13"/>
      <c r="E86" s="219">
        <f>CEILING(E82*E80,10)</f>
        <v>29570</v>
      </c>
      <c r="F86" s="219">
        <f t="shared" ref="F86:F95" si="19">CEILING(IF($F$83&gt;=$C86,(F$82*F$80),0),10)</f>
        <v>74840</v>
      </c>
      <c r="G86" s="219">
        <f>CEILING(IF($G$83&gt;=$C86,(G$82*G$80),0),10)</f>
        <v>123320</v>
      </c>
      <c r="I86" s="51"/>
      <c r="J86" s="51"/>
      <c r="K86" s="51"/>
    </row>
    <row r="87" spans="1:11" ht="15.6" x14ac:dyDescent="0.6">
      <c r="A87" s="51"/>
      <c r="B87" s="99"/>
      <c r="C87" s="101">
        <v>2</v>
      </c>
      <c r="D87" s="13"/>
      <c r="E87" s="219">
        <f>E86</f>
        <v>29570</v>
      </c>
      <c r="F87" s="219">
        <f t="shared" si="19"/>
        <v>74840</v>
      </c>
      <c r="G87" s="219">
        <f>CEILING(IF($G$83&gt;=$C87,(G$82*H$80),0),10)</f>
        <v>55820</v>
      </c>
      <c r="I87" s="51"/>
      <c r="J87" s="51"/>
      <c r="K87" s="51"/>
    </row>
    <row r="88" spans="1:11" ht="15.6" x14ac:dyDescent="0.6">
      <c r="A88" s="51"/>
      <c r="B88" s="99"/>
      <c r="C88" s="101">
        <v>3</v>
      </c>
      <c r="D88" s="13"/>
      <c r="E88" s="219">
        <f t="shared" ref="E88:E95" si="20">E87</f>
        <v>29570</v>
      </c>
      <c r="F88" s="219">
        <f t="shared" si="19"/>
        <v>74840</v>
      </c>
      <c r="G88" s="219">
        <f t="shared" ref="G88:G95" si="21">CEILING(IF($G$83&gt;=$C88,(G$82*I$80),0),10)</f>
        <v>0</v>
      </c>
      <c r="I88" s="51"/>
      <c r="J88" s="51"/>
      <c r="K88" s="51"/>
    </row>
    <row r="89" spans="1:11" ht="15.6" x14ac:dyDescent="0.6">
      <c r="A89" s="51"/>
      <c r="B89" s="99"/>
      <c r="C89" s="101">
        <v>4</v>
      </c>
      <c r="D89" s="13"/>
      <c r="E89" s="219">
        <f t="shared" si="20"/>
        <v>29570</v>
      </c>
      <c r="F89" s="219">
        <f t="shared" si="19"/>
        <v>0</v>
      </c>
      <c r="G89" s="219">
        <f t="shared" si="21"/>
        <v>0</v>
      </c>
      <c r="I89" s="51"/>
      <c r="J89" s="51"/>
      <c r="K89" s="51"/>
    </row>
    <row r="90" spans="1:11" ht="15.6" x14ac:dyDescent="0.6">
      <c r="A90" s="51"/>
      <c r="B90" s="17"/>
      <c r="C90" s="101">
        <v>5</v>
      </c>
      <c r="D90" s="13"/>
      <c r="E90" s="219">
        <f t="shared" si="20"/>
        <v>29570</v>
      </c>
      <c r="F90" s="219">
        <f t="shared" si="19"/>
        <v>0</v>
      </c>
      <c r="G90" s="219">
        <f t="shared" si="21"/>
        <v>0</v>
      </c>
      <c r="I90" s="51"/>
      <c r="J90" s="51"/>
      <c r="K90" s="51"/>
    </row>
    <row r="91" spans="1:11" ht="15.6" x14ac:dyDescent="0.6">
      <c r="A91" s="51"/>
      <c r="B91" s="17"/>
      <c r="C91" s="101">
        <v>6</v>
      </c>
      <c r="D91" s="13"/>
      <c r="E91" s="219">
        <f t="shared" si="20"/>
        <v>29570</v>
      </c>
      <c r="F91" s="219">
        <f t="shared" si="19"/>
        <v>0</v>
      </c>
      <c r="G91" s="219">
        <f t="shared" si="21"/>
        <v>0</v>
      </c>
      <c r="I91" s="51"/>
      <c r="J91" s="51"/>
      <c r="K91" s="51"/>
    </row>
    <row r="92" spans="1:11" ht="15.6" x14ac:dyDescent="0.6">
      <c r="A92" s="51"/>
      <c r="B92" s="17"/>
      <c r="C92" s="101">
        <v>7</v>
      </c>
      <c r="D92" s="13"/>
      <c r="E92" s="219">
        <f t="shared" si="20"/>
        <v>29570</v>
      </c>
      <c r="F92" s="219">
        <f t="shared" si="19"/>
        <v>0</v>
      </c>
      <c r="G92" s="219">
        <f t="shared" si="21"/>
        <v>0</v>
      </c>
      <c r="I92" s="51"/>
      <c r="J92" s="51"/>
      <c r="K92" s="51"/>
    </row>
    <row r="93" spans="1:11" ht="15.6" x14ac:dyDescent="0.6">
      <c r="A93" s="51"/>
      <c r="B93" s="17"/>
      <c r="C93" s="101">
        <v>8</v>
      </c>
      <c r="D93" s="13"/>
      <c r="E93" s="219">
        <f t="shared" si="20"/>
        <v>29570</v>
      </c>
      <c r="F93" s="219">
        <f t="shared" si="19"/>
        <v>0</v>
      </c>
      <c r="G93" s="219">
        <f t="shared" si="21"/>
        <v>0</v>
      </c>
      <c r="I93" s="51"/>
      <c r="J93" s="51"/>
      <c r="K93" s="51"/>
    </row>
    <row r="94" spans="1:11" ht="15.6" x14ac:dyDescent="0.6">
      <c r="A94" s="51"/>
      <c r="B94" s="17"/>
      <c r="C94" s="101">
        <v>9</v>
      </c>
      <c r="D94" s="13"/>
      <c r="E94" s="219">
        <f t="shared" si="20"/>
        <v>29570</v>
      </c>
      <c r="F94" s="219">
        <f t="shared" si="19"/>
        <v>0</v>
      </c>
      <c r="G94" s="219">
        <f t="shared" si="21"/>
        <v>0</v>
      </c>
      <c r="I94" s="51"/>
      <c r="J94" s="51"/>
      <c r="K94" s="51"/>
    </row>
    <row r="95" spans="1:11" ht="15.6" x14ac:dyDescent="0.6">
      <c r="A95" s="51"/>
      <c r="B95" s="18"/>
      <c r="C95" s="102">
        <v>10</v>
      </c>
      <c r="D95" s="108"/>
      <c r="E95" s="220">
        <f t="shared" si="20"/>
        <v>29570</v>
      </c>
      <c r="F95" s="219">
        <f t="shared" si="19"/>
        <v>0</v>
      </c>
      <c r="G95" s="219">
        <f t="shared" si="21"/>
        <v>0</v>
      </c>
      <c r="I95" s="51"/>
      <c r="J95" s="51"/>
      <c r="K95" s="51"/>
    </row>
    <row r="96" spans="1:11" ht="15.6" x14ac:dyDescent="0.6">
      <c r="A96" s="51"/>
      <c r="B96" s="105" t="s">
        <v>82</v>
      </c>
      <c r="C96" s="9"/>
      <c r="D96" s="109" t="s">
        <v>67</v>
      </c>
      <c r="E96" s="221">
        <f>SUM(E86:E95)</f>
        <v>295700</v>
      </c>
      <c r="F96" s="221">
        <f>SUM(F86:F95)</f>
        <v>224520</v>
      </c>
      <c r="G96" s="221">
        <f>SUM(G86:G95)</f>
        <v>179140</v>
      </c>
      <c r="I96" s="51"/>
      <c r="J96" s="51"/>
      <c r="K96" s="51"/>
    </row>
    <row r="97" spans="1:14" ht="15.6" x14ac:dyDescent="0.6">
      <c r="A97" s="51"/>
      <c r="B97" s="54" t="s">
        <v>86</v>
      </c>
      <c r="C97" s="4"/>
      <c r="D97" s="98" t="s">
        <v>80</v>
      </c>
      <c r="E97" s="219">
        <f t="shared" ref="E97:G97" si="22">E96/10</f>
        <v>29570</v>
      </c>
      <c r="F97" s="219">
        <f t="shared" si="22"/>
        <v>22452</v>
      </c>
      <c r="G97" s="219">
        <f t="shared" si="22"/>
        <v>17914</v>
      </c>
      <c r="I97" s="51"/>
      <c r="J97" s="51"/>
      <c r="K97" s="51"/>
    </row>
    <row r="98" spans="1:14" ht="15.6" x14ac:dyDescent="0.6">
      <c r="A98" s="51"/>
      <c r="B98" s="103" t="s">
        <v>84</v>
      </c>
      <c r="C98" s="4"/>
      <c r="D98" s="98" t="s">
        <v>83</v>
      </c>
      <c r="E98" s="222">
        <f t="shared" ref="E98:G98" si="23">E97/E$82</f>
        <v>2.903289150711831</v>
      </c>
      <c r="F98" s="222">
        <f>F97/F$82</f>
        <v>2.2044182621502211</v>
      </c>
      <c r="G98" s="222">
        <f t="shared" si="23"/>
        <v>1.7588610702012764</v>
      </c>
      <c r="I98" s="51"/>
      <c r="J98" s="51"/>
      <c r="K98" s="51"/>
    </row>
    <row r="99" spans="1:14" ht="15.6" x14ac:dyDescent="0.6">
      <c r="A99" s="51"/>
      <c r="B99" s="104" t="s">
        <v>85</v>
      </c>
      <c r="C99" s="11"/>
      <c r="D99" s="110" t="s">
        <v>5</v>
      </c>
      <c r="E99" s="223">
        <f>E97/'Step 1'!$D$11</f>
        <v>29.57</v>
      </c>
      <c r="F99" s="223">
        <f>F97/'Step 1'!$D$11</f>
        <v>22.452000000000002</v>
      </c>
      <c r="G99" s="223">
        <f>G97/'Step 1'!$D$11</f>
        <v>17.914000000000001</v>
      </c>
      <c r="I99" s="51"/>
      <c r="J99" s="51"/>
      <c r="K99" s="51"/>
    </row>
    <row r="100" spans="1:14" ht="12.9" x14ac:dyDescent="0.5">
      <c r="A100" s="51"/>
      <c r="B100" s="282" t="s">
        <v>251</v>
      </c>
      <c r="C100" s="252"/>
      <c r="D100" s="252"/>
      <c r="E100" s="252"/>
      <c r="F100" s="252"/>
      <c r="G100" s="252"/>
      <c r="H100" s="252"/>
      <c r="K100" s="51"/>
      <c r="L100" s="51"/>
      <c r="M100" s="51"/>
      <c r="N100" s="51"/>
    </row>
    <row r="101" spans="1:14" ht="12.9" x14ac:dyDescent="0.5">
      <c r="A101" s="51"/>
      <c r="B101" s="51"/>
      <c r="C101" s="51"/>
      <c r="D101" s="51"/>
      <c r="E101" s="51"/>
      <c r="F101" s="51"/>
      <c r="G101" s="51"/>
      <c r="H101" s="51"/>
      <c r="I101" s="51"/>
      <c r="J101" s="51"/>
      <c r="K101" s="51"/>
      <c r="L101" s="51"/>
      <c r="M101" s="51"/>
      <c r="N101" s="51"/>
    </row>
    <row r="102" spans="1:14" ht="12.9" x14ac:dyDescent="0.5">
      <c r="A102" s="51"/>
      <c r="B102" s="51"/>
      <c r="C102" s="51"/>
      <c r="D102" s="51"/>
      <c r="E102" s="51"/>
      <c r="F102" s="51"/>
      <c r="G102" s="51"/>
      <c r="H102" s="51"/>
      <c r="I102" s="51"/>
      <c r="J102" s="51"/>
      <c r="K102" s="51"/>
      <c r="L102" s="51"/>
      <c r="M102" s="51"/>
      <c r="N102" s="51"/>
    </row>
    <row r="103" spans="1:14" ht="18.3" x14ac:dyDescent="0.7">
      <c r="A103" s="51"/>
      <c r="B103" s="253" t="s">
        <v>209</v>
      </c>
      <c r="C103" s="23"/>
      <c r="D103" s="23"/>
      <c r="E103" s="23"/>
      <c r="F103" s="23"/>
      <c r="G103" s="23"/>
      <c r="H103" s="51"/>
      <c r="I103" s="51"/>
      <c r="J103" s="51"/>
      <c r="K103" s="51"/>
      <c r="L103" s="51"/>
      <c r="M103" s="51"/>
      <c r="N103" s="51"/>
    </row>
    <row r="104" spans="1:14" ht="15.6" x14ac:dyDescent="0.6">
      <c r="A104" s="51"/>
      <c r="B104" s="247" t="s">
        <v>237</v>
      </c>
      <c r="C104" s="23"/>
      <c r="D104" s="23"/>
      <c r="E104" s="23"/>
      <c r="F104" s="23"/>
      <c r="G104" s="23"/>
      <c r="H104" s="51"/>
      <c r="I104" s="51"/>
      <c r="J104" s="51"/>
      <c r="K104" s="51"/>
      <c r="L104" s="51"/>
      <c r="M104" s="51"/>
      <c r="N104" s="51"/>
    </row>
    <row r="105" spans="1:14" ht="15.6" x14ac:dyDescent="0.6">
      <c r="A105" s="51"/>
      <c r="B105" s="77"/>
      <c r="C105" s="44"/>
      <c r="D105" s="44"/>
      <c r="E105" s="400" t="s">
        <v>79</v>
      </c>
      <c r="F105" s="401"/>
      <c r="G105" s="402"/>
      <c r="H105" s="51"/>
      <c r="I105" s="51"/>
      <c r="J105" s="51"/>
      <c r="K105" s="51"/>
      <c r="L105" s="51"/>
      <c r="M105" s="51"/>
      <c r="N105" s="51"/>
    </row>
    <row r="106" spans="1:14" ht="31.2" x14ac:dyDescent="0.6">
      <c r="A106" s="51"/>
      <c r="B106" s="47"/>
      <c r="C106" s="74"/>
      <c r="D106" s="74"/>
      <c r="E106" s="199" t="s">
        <v>308</v>
      </c>
      <c r="F106" s="199" t="s">
        <v>180</v>
      </c>
      <c r="G106" s="199" t="s">
        <v>181</v>
      </c>
      <c r="H106" s="51"/>
      <c r="I106" s="51"/>
      <c r="J106" s="51"/>
      <c r="K106" s="51"/>
      <c r="L106" s="51"/>
      <c r="M106" s="51"/>
      <c r="N106" s="51"/>
    </row>
    <row r="107" spans="1:14" ht="15.6" x14ac:dyDescent="0.6">
      <c r="A107" s="51"/>
      <c r="B107" s="96"/>
      <c r="C107" s="374" t="s">
        <v>313</v>
      </c>
      <c r="D107" s="226"/>
      <c r="E107" s="134">
        <f>'Step 2'!$F24</f>
        <v>0.25</v>
      </c>
      <c r="F107" s="134">
        <f>'Step 2'!$F24</f>
        <v>0.25</v>
      </c>
      <c r="G107" s="134">
        <f>'Step 2'!$F24</f>
        <v>0.25</v>
      </c>
      <c r="H107" s="51"/>
      <c r="I107" s="51"/>
      <c r="J107" s="51"/>
      <c r="K107" s="51"/>
      <c r="L107" s="51"/>
      <c r="M107" s="51"/>
      <c r="N107" s="51"/>
    </row>
    <row r="108" spans="1:14" ht="15.6" x14ac:dyDescent="0.6">
      <c r="A108" s="51"/>
      <c r="B108" s="14"/>
      <c r="C108" s="35" t="s">
        <v>9</v>
      </c>
      <c r="D108" s="227"/>
      <c r="E108" s="92">
        <v>0.2</v>
      </c>
      <c r="F108" s="92">
        <v>0.15</v>
      </c>
      <c r="G108" s="92">
        <v>0.05</v>
      </c>
      <c r="H108" s="51"/>
      <c r="I108" s="51"/>
      <c r="J108" s="51"/>
      <c r="K108" s="51"/>
      <c r="L108" s="51"/>
      <c r="M108" s="51"/>
      <c r="N108" s="51"/>
    </row>
    <row r="109" spans="1:14" ht="15.6" x14ac:dyDescent="0.6">
      <c r="A109" s="51"/>
      <c r="B109" s="14"/>
      <c r="C109" s="35" t="s">
        <v>10</v>
      </c>
      <c r="D109" s="227"/>
      <c r="E109" s="92">
        <v>0.15</v>
      </c>
      <c r="F109" s="92">
        <v>0.05</v>
      </c>
      <c r="G109" s="92">
        <v>0</v>
      </c>
      <c r="H109" s="51"/>
      <c r="I109" s="51"/>
      <c r="J109" s="51"/>
      <c r="K109" s="51"/>
      <c r="L109" s="51"/>
      <c r="M109" s="51"/>
      <c r="N109" s="51"/>
    </row>
    <row r="110" spans="1:14" ht="15.6" x14ac:dyDescent="0.6">
      <c r="A110" s="51"/>
      <c r="B110" s="14"/>
      <c r="C110" s="35" t="s">
        <v>11</v>
      </c>
      <c r="D110" s="227"/>
      <c r="E110" s="92">
        <v>0.1</v>
      </c>
      <c r="F110" s="92">
        <v>0</v>
      </c>
      <c r="G110" s="92">
        <v>0</v>
      </c>
      <c r="H110" s="51"/>
      <c r="I110" s="51"/>
      <c r="J110" s="51"/>
      <c r="K110" s="51"/>
      <c r="L110" s="51"/>
      <c r="M110" s="51"/>
      <c r="N110" s="51"/>
    </row>
    <row r="111" spans="1:14" ht="15.6" x14ac:dyDescent="0.6">
      <c r="A111" s="51"/>
      <c r="B111" s="14"/>
      <c r="C111" s="35" t="s">
        <v>6</v>
      </c>
      <c r="D111" s="227"/>
      <c r="E111" s="92">
        <v>0.1</v>
      </c>
      <c r="F111" s="92">
        <v>0</v>
      </c>
      <c r="G111" s="92">
        <v>0</v>
      </c>
      <c r="H111" s="51"/>
      <c r="I111" s="51"/>
      <c r="J111" s="51"/>
      <c r="K111" s="51"/>
      <c r="L111" s="51"/>
      <c r="M111" s="51"/>
      <c r="N111" s="51"/>
    </row>
    <row r="112" spans="1:14" ht="15.6" x14ac:dyDescent="0.6">
      <c r="A112" s="51"/>
      <c r="B112" s="14"/>
      <c r="C112" s="35" t="s">
        <v>12</v>
      </c>
      <c r="D112" s="227"/>
      <c r="E112" s="92">
        <v>0.1</v>
      </c>
      <c r="F112" s="92">
        <v>0</v>
      </c>
      <c r="G112" s="92">
        <v>0</v>
      </c>
      <c r="H112" s="51"/>
      <c r="I112" s="51"/>
      <c r="J112" s="51"/>
      <c r="K112" s="51"/>
      <c r="L112" s="51"/>
      <c r="M112" s="51"/>
      <c r="N112" s="51"/>
    </row>
    <row r="113" spans="1:14" ht="15.6" x14ac:dyDescent="0.6">
      <c r="A113" s="51"/>
      <c r="B113" s="14"/>
      <c r="C113" s="35" t="s">
        <v>13</v>
      </c>
      <c r="D113" s="227"/>
      <c r="E113" s="92">
        <v>0.1</v>
      </c>
      <c r="F113" s="92">
        <v>0</v>
      </c>
      <c r="G113" s="92">
        <v>0</v>
      </c>
      <c r="H113" s="51"/>
      <c r="I113" s="51"/>
      <c r="J113" s="51"/>
      <c r="K113" s="51"/>
      <c r="L113" s="51"/>
      <c r="M113" s="51"/>
      <c r="N113" s="51"/>
    </row>
    <row r="114" spans="1:14" ht="15.6" x14ac:dyDescent="0.6">
      <c r="A114" s="51"/>
      <c r="B114" s="14"/>
      <c r="C114" s="35" t="s">
        <v>14</v>
      </c>
      <c r="D114" s="227"/>
      <c r="E114" s="92">
        <v>0.1</v>
      </c>
      <c r="F114" s="92">
        <v>0</v>
      </c>
      <c r="G114" s="92">
        <v>0</v>
      </c>
      <c r="H114" s="51"/>
      <c r="I114" s="51"/>
      <c r="J114" s="51"/>
      <c r="K114" s="51"/>
      <c r="L114" s="51"/>
      <c r="M114" s="51"/>
      <c r="N114" s="51"/>
    </row>
    <row r="115" spans="1:14" ht="15.6" x14ac:dyDescent="0.6">
      <c r="A115" s="51"/>
      <c r="B115" s="14"/>
      <c r="C115" s="35" t="s">
        <v>15</v>
      </c>
      <c r="D115" s="227"/>
      <c r="E115" s="92">
        <v>0.1</v>
      </c>
      <c r="F115" s="92">
        <v>0</v>
      </c>
      <c r="G115" s="92">
        <v>0</v>
      </c>
      <c r="H115" s="51"/>
      <c r="I115" s="51"/>
      <c r="J115" s="51"/>
      <c r="K115" s="51"/>
      <c r="L115" s="51"/>
      <c r="M115" s="51"/>
      <c r="N115" s="51"/>
    </row>
    <row r="116" spans="1:14" ht="15.6" x14ac:dyDescent="0.6">
      <c r="A116" s="51"/>
      <c r="B116" s="15"/>
      <c r="C116" s="80" t="s">
        <v>16</v>
      </c>
      <c r="D116" s="228"/>
      <c r="E116" s="92">
        <v>0.1</v>
      </c>
      <c r="F116" s="92">
        <v>0</v>
      </c>
      <c r="G116" s="92">
        <v>0</v>
      </c>
      <c r="H116" s="51"/>
      <c r="I116" s="51"/>
      <c r="J116" s="51"/>
      <c r="K116" s="51"/>
      <c r="L116" s="51"/>
      <c r="M116" s="51"/>
      <c r="N116" s="51"/>
    </row>
    <row r="117" spans="1:14" ht="12.9" x14ac:dyDescent="0.5">
      <c r="A117" s="51"/>
      <c r="E117" s="51"/>
      <c r="F117" s="51"/>
      <c r="G117" s="51"/>
      <c r="H117" s="51"/>
      <c r="I117" s="51"/>
      <c r="J117" s="51"/>
      <c r="K117" s="51"/>
      <c r="L117" s="51"/>
      <c r="M117" s="51"/>
      <c r="N117" s="51"/>
    </row>
    <row r="118" spans="1:14" ht="18.3" x14ac:dyDescent="0.7">
      <c r="A118" s="51"/>
      <c r="B118" s="73" t="s">
        <v>238</v>
      </c>
      <c r="C118" s="51"/>
      <c r="D118" s="51"/>
      <c r="E118" s="51"/>
      <c r="F118" s="51"/>
      <c r="G118" s="51"/>
      <c r="H118" s="51"/>
      <c r="I118" s="51"/>
      <c r="J118" s="51"/>
      <c r="K118" s="51"/>
      <c r="L118" s="51"/>
      <c r="M118" s="51"/>
      <c r="N118" s="51"/>
    </row>
    <row r="119" spans="1:14" ht="9" customHeight="1" x14ac:dyDescent="0.6">
      <c r="A119" s="51"/>
      <c r="B119" s="51"/>
      <c r="C119" s="23"/>
      <c r="D119" s="51"/>
      <c r="E119" s="51"/>
      <c r="F119" s="51"/>
      <c r="G119" s="51"/>
      <c r="H119" s="51"/>
      <c r="I119" s="51"/>
      <c r="J119" s="51"/>
      <c r="K119" s="51"/>
      <c r="L119" s="51"/>
      <c r="M119" s="51"/>
      <c r="N119" s="51"/>
    </row>
    <row r="120" spans="1:14" ht="15.6" x14ac:dyDescent="0.6">
      <c r="A120" s="51"/>
      <c r="B120" s="349" t="s">
        <v>242</v>
      </c>
      <c r="C120" s="23"/>
      <c r="D120" s="51"/>
      <c r="E120" s="51"/>
      <c r="F120" s="51"/>
      <c r="G120" s="51"/>
      <c r="H120" s="51"/>
      <c r="I120" s="51"/>
      <c r="J120" s="51"/>
      <c r="K120" s="51"/>
      <c r="L120" s="51"/>
      <c r="M120" s="51"/>
      <c r="N120" s="51"/>
    </row>
    <row r="121" spans="1:14" ht="15.6" x14ac:dyDescent="0.6">
      <c r="A121" s="51"/>
      <c r="B121" s="77"/>
      <c r="C121" s="44"/>
      <c r="D121" s="44"/>
      <c r="E121" s="400" t="s">
        <v>239</v>
      </c>
      <c r="F121" s="401"/>
      <c r="G121" s="402"/>
      <c r="H121" s="51"/>
      <c r="I121" s="51"/>
      <c r="J121" s="51"/>
      <c r="K121" s="51"/>
      <c r="L121" s="51"/>
      <c r="M121" s="51"/>
      <c r="N121" s="51"/>
    </row>
    <row r="122" spans="1:14" ht="31.2" x14ac:dyDescent="0.6">
      <c r="A122" s="51"/>
      <c r="B122" s="47"/>
      <c r="C122" s="74"/>
      <c r="D122" s="74"/>
      <c r="E122" s="199" t="s">
        <v>308</v>
      </c>
      <c r="F122" s="199" t="s">
        <v>180</v>
      </c>
      <c r="G122" s="199" t="s">
        <v>181</v>
      </c>
      <c r="H122" s="51"/>
      <c r="I122" s="51"/>
      <c r="J122" s="51"/>
      <c r="K122" s="51"/>
      <c r="L122" s="51"/>
      <c r="M122" s="51"/>
      <c r="N122" s="51"/>
    </row>
    <row r="123" spans="1:14" ht="21.7" customHeight="1" x14ac:dyDescent="0.6">
      <c r="A123" s="51"/>
      <c r="B123" s="351"/>
      <c r="C123" s="352"/>
      <c r="D123" s="353"/>
      <c r="E123" s="392" t="s">
        <v>240</v>
      </c>
      <c r="F123" s="393"/>
      <c r="G123" s="394"/>
      <c r="H123" s="51"/>
      <c r="I123" s="51"/>
      <c r="J123" s="51"/>
      <c r="K123" s="51"/>
      <c r="L123" s="51"/>
      <c r="M123" s="51"/>
      <c r="N123" s="51"/>
    </row>
    <row r="124" spans="1:14" ht="15.6" x14ac:dyDescent="0.6">
      <c r="A124" s="51"/>
      <c r="B124" s="321"/>
      <c r="C124" s="101">
        <v>1</v>
      </c>
      <c r="D124" s="322"/>
      <c r="E124" s="157">
        <v>0.02</v>
      </c>
      <c r="F124" s="157">
        <v>0.1</v>
      </c>
      <c r="G124" s="157">
        <v>0.1</v>
      </c>
      <c r="H124" s="51"/>
      <c r="I124" s="51"/>
      <c r="J124" s="51"/>
      <c r="K124" s="51"/>
      <c r="L124" s="51"/>
      <c r="M124" s="51"/>
      <c r="N124" s="51"/>
    </row>
    <row r="125" spans="1:14" ht="15.6" x14ac:dyDescent="0.6">
      <c r="A125" s="51"/>
      <c r="B125" s="321"/>
      <c r="C125" s="101">
        <v>2</v>
      </c>
      <c r="D125" s="322"/>
      <c r="E125" s="157">
        <v>0.02</v>
      </c>
      <c r="F125" s="157">
        <v>0.1</v>
      </c>
      <c r="G125" s="157">
        <v>0.05</v>
      </c>
      <c r="H125" s="51"/>
      <c r="I125" s="51"/>
      <c r="J125" s="51"/>
      <c r="K125" s="51"/>
      <c r="L125" s="51"/>
      <c r="M125" s="51"/>
      <c r="N125" s="51"/>
    </row>
    <row r="126" spans="1:14" ht="15.6" x14ac:dyDescent="0.6">
      <c r="A126" s="51"/>
      <c r="B126" s="321"/>
      <c r="C126" s="101">
        <v>3</v>
      </c>
      <c r="D126" s="322"/>
      <c r="E126" s="157">
        <v>0.02</v>
      </c>
      <c r="F126" s="157">
        <v>0.05</v>
      </c>
      <c r="G126" s="157">
        <v>0</v>
      </c>
      <c r="H126" s="51"/>
      <c r="I126" s="51"/>
      <c r="J126" s="51"/>
      <c r="K126" s="51"/>
      <c r="L126" s="51"/>
      <c r="M126" s="51"/>
      <c r="N126" s="51"/>
    </row>
    <row r="127" spans="1:14" ht="15.6" x14ac:dyDescent="0.6">
      <c r="A127" s="51"/>
      <c r="B127" s="321"/>
      <c r="C127" s="101">
        <v>4</v>
      </c>
      <c r="D127" s="322"/>
      <c r="E127" s="157">
        <v>0.02</v>
      </c>
      <c r="F127" s="157">
        <v>0</v>
      </c>
      <c r="G127" s="157">
        <v>0</v>
      </c>
      <c r="H127" s="51"/>
      <c r="I127" s="51"/>
      <c r="J127" s="51"/>
      <c r="K127" s="51"/>
      <c r="L127" s="51"/>
      <c r="M127" s="51"/>
      <c r="N127" s="51"/>
    </row>
    <row r="128" spans="1:14" ht="15.6" x14ac:dyDescent="0.6">
      <c r="A128" s="51"/>
      <c r="B128" s="321"/>
      <c r="C128" s="101">
        <v>5</v>
      </c>
      <c r="D128" s="322"/>
      <c r="E128" s="157">
        <v>0.02</v>
      </c>
      <c r="F128" s="157">
        <v>0</v>
      </c>
      <c r="G128" s="157">
        <v>0</v>
      </c>
      <c r="H128" s="51"/>
      <c r="I128" s="51"/>
      <c r="J128" s="51"/>
      <c r="K128" s="51"/>
      <c r="L128" s="51"/>
      <c r="M128" s="51"/>
      <c r="N128" s="51"/>
    </row>
    <row r="129" spans="1:14" ht="15.6" x14ac:dyDescent="0.6">
      <c r="A129" s="51"/>
      <c r="B129" s="321"/>
      <c r="C129" s="101">
        <v>6</v>
      </c>
      <c r="D129" s="322"/>
      <c r="E129" s="157">
        <v>0.02</v>
      </c>
      <c r="F129" s="157">
        <v>0</v>
      </c>
      <c r="G129" s="157">
        <v>0</v>
      </c>
      <c r="H129" s="51"/>
      <c r="I129" s="51"/>
      <c r="J129" s="51"/>
      <c r="K129" s="51"/>
      <c r="L129" s="51"/>
      <c r="M129" s="51"/>
      <c r="N129" s="51"/>
    </row>
    <row r="130" spans="1:14" ht="15.6" x14ac:dyDescent="0.6">
      <c r="A130" s="51"/>
      <c r="B130" s="321"/>
      <c r="C130" s="101">
        <v>7</v>
      </c>
      <c r="D130" s="322"/>
      <c r="E130" s="157">
        <v>0.02</v>
      </c>
      <c r="F130" s="157">
        <v>0</v>
      </c>
      <c r="G130" s="157">
        <v>0</v>
      </c>
      <c r="H130" s="51"/>
      <c r="I130" s="51"/>
      <c r="J130" s="51"/>
      <c r="K130" s="51"/>
      <c r="L130" s="51"/>
      <c r="M130" s="51"/>
      <c r="N130" s="51"/>
    </row>
    <row r="131" spans="1:14" ht="15.6" x14ac:dyDescent="0.6">
      <c r="A131" s="51"/>
      <c r="B131" s="321"/>
      <c r="C131" s="101">
        <v>8</v>
      </c>
      <c r="D131" s="322"/>
      <c r="E131" s="157">
        <v>0.02</v>
      </c>
      <c r="F131" s="157">
        <v>0</v>
      </c>
      <c r="G131" s="157">
        <v>0</v>
      </c>
      <c r="H131" s="51"/>
      <c r="I131" s="51"/>
      <c r="J131" s="51"/>
      <c r="K131" s="51"/>
      <c r="L131" s="51"/>
      <c r="M131" s="51"/>
      <c r="N131" s="51"/>
    </row>
    <row r="132" spans="1:14" ht="15.6" x14ac:dyDescent="0.6">
      <c r="A132" s="51"/>
      <c r="B132" s="321"/>
      <c r="C132" s="101">
        <v>9</v>
      </c>
      <c r="D132" s="322"/>
      <c r="E132" s="157">
        <v>0.02</v>
      </c>
      <c r="F132" s="157">
        <v>0</v>
      </c>
      <c r="G132" s="157">
        <v>0</v>
      </c>
      <c r="H132" s="51"/>
      <c r="I132" s="51"/>
      <c r="J132" s="51"/>
      <c r="K132" s="51"/>
      <c r="L132" s="51"/>
      <c r="M132" s="51"/>
      <c r="N132" s="51"/>
    </row>
    <row r="133" spans="1:14" ht="15.6" x14ac:dyDescent="0.6">
      <c r="A133" s="51"/>
      <c r="B133" s="324"/>
      <c r="C133" s="102">
        <v>10</v>
      </c>
      <c r="D133" s="323"/>
      <c r="E133" s="157">
        <v>0.02</v>
      </c>
      <c r="F133" s="157">
        <v>0</v>
      </c>
      <c r="G133" s="157">
        <v>0</v>
      </c>
      <c r="H133" s="51"/>
      <c r="I133" s="51"/>
      <c r="J133" s="51"/>
      <c r="K133" s="51"/>
      <c r="L133" s="51"/>
      <c r="M133" s="51"/>
      <c r="N133" s="51"/>
    </row>
    <row r="134" spans="1:14" ht="15.6" x14ac:dyDescent="0.6">
      <c r="A134" s="51"/>
      <c r="B134" s="51"/>
      <c r="C134" s="23"/>
      <c r="D134" s="51"/>
      <c r="E134" s="51"/>
      <c r="F134" s="51"/>
      <c r="G134" s="51"/>
      <c r="H134" s="51"/>
      <c r="I134" s="51"/>
      <c r="J134" s="51"/>
      <c r="K134" s="51"/>
      <c r="L134" s="51"/>
      <c r="M134" s="51"/>
      <c r="N134" s="51"/>
    </row>
    <row r="135" spans="1:14" ht="15.6" x14ac:dyDescent="0.6">
      <c r="A135" s="51"/>
      <c r="B135" s="349" t="s">
        <v>243</v>
      </c>
      <c r="C135" s="23"/>
      <c r="D135" s="51"/>
      <c r="E135" s="51"/>
      <c r="F135" s="51"/>
      <c r="G135" s="51"/>
      <c r="H135" s="51"/>
      <c r="I135" s="51"/>
      <c r="J135" s="51"/>
      <c r="K135" s="51"/>
      <c r="L135" s="51"/>
      <c r="M135" s="51"/>
      <c r="N135" s="51"/>
    </row>
    <row r="136" spans="1:14" ht="15.6" x14ac:dyDescent="0.6">
      <c r="A136" s="51"/>
      <c r="B136" s="77"/>
      <c r="C136" s="44"/>
      <c r="D136" s="44"/>
      <c r="E136" s="400" t="s">
        <v>239</v>
      </c>
      <c r="F136" s="401"/>
      <c r="G136" s="402"/>
      <c r="H136" s="51"/>
      <c r="I136" s="51"/>
      <c r="J136" s="51"/>
      <c r="K136" s="51"/>
      <c r="L136" s="51"/>
      <c r="M136" s="51"/>
      <c r="N136" s="51"/>
    </row>
    <row r="137" spans="1:14" ht="31.2" x14ac:dyDescent="0.6">
      <c r="A137" s="51"/>
      <c r="B137" s="47"/>
      <c r="C137" s="74"/>
      <c r="D137" s="74"/>
      <c r="E137" s="199" t="s">
        <v>308</v>
      </c>
      <c r="F137" s="199" t="s">
        <v>180</v>
      </c>
      <c r="G137" s="199" t="s">
        <v>181</v>
      </c>
      <c r="H137" s="51"/>
      <c r="I137" s="51"/>
      <c r="J137" s="51"/>
      <c r="K137" s="51"/>
      <c r="L137" s="51"/>
      <c r="M137" s="51"/>
      <c r="N137" s="51"/>
    </row>
    <row r="138" spans="1:14" ht="15.7" customHeight="1" x14ac:dyDescent="0.6">
      <c r="A138" s="51"/>
      <c r="B138" s="351"/>
      <c r="C138" s="352"/>
      <c r="D138" s="353"/>
      <c r="E138" s="392" t="s">
        <v>241</v>
      </c>
      <c r="F138" s="393"/>
      <c r="G138" s="394"/>
      <c r="H138" s="51"/>
      <c r="I138" s="51"/>
      <c r="J138" s="51"/>
      <c r="K138" s="51"/>
      <c r="L138" s="51"/>
      <c r="M138" s="51"/>
      <c r="N138" s="51"/>
    </row>
    <row r="139" spans="1:14" ht="15.6" x14ac:dyDescent="0.6">
      <c r="A139" s="51"/>
      <c r="B139" s="321"/>
      <c r="C139" s="101">
        <v>1</v>
      </c>
      <c r="D139" s="322"/>
      <c r="E139" s="350">
        <f>'Step 3'!E107*'Step 3'!E124</f>
        <v>5.0000000000000001E-3</v>
      </c>
      <c r="F139" s="350">
        <f>'Step 3'!F107*'Step 3'!F124</f>
        <v>2.5000000000000001E-2</v>
      </c>
      <c r="G139" s="350">
        <f>'Step 3'!G107*'Step 3'!G124</f>
        <v>2.5000000000000001E-2</v>
      </c>
      <c r="H139" s="51"/>
      <c r="I139" s="51"/>
      <c r="J139" s="51"/>
      <c r="K139" s="51"/>
      <c r="L139" s="51"/>
      <c r="M139" s="51"/>
      <c r="N139" s="51"/>
    </row>
    <row r="140" spans="1:14" ht="15.6" x14ac:dyDescent="0.6">
      <c r="A140" s="51"/>
      <c r="B140" s="321"/>
      <c r="C140" s="101">
        <v>2</v>
      </c>
      <c r="D140" s="322"/>
      <c r="E140" s="350">
        <f>'Step 3'!E108*'Step 3'!E125</f>
        <v>4.0000000000000001E-3</v>
      </c>
      <c r="F140" s="350">
        <f>'Step 3'!F108*'Step 3'!F125</f>
        <v>1.4999999999999999E-2</v>
      </c>
      <c r="G140" s="350">
        <f>'Step 3'!G108*'Step 3'!G125</f>
        <v>2.5000000000000005E-3</v>
      </c>
      <c r="H140" s="51"/>
      <c r="I140" s="51"/>
      <c r="J140" s="51"/>
      <c r="K140" s="51"/>
      <c r="L140" s="51"/>
      <c r="M140" s="51"/>
      <c r="N140" s="51"/>
    </row>
    <row r="141" spans="1:14" ht="15.6" x14ac:dyDescent="0.6">
      <c r="A141" s="51"/>
      <c r="B141" s="321"/>
      <c r="C141" s="101">
        <v>3</v>
      </c>
      <c r="D141" s="322"/>
      <c r="E141" s="350">
        <f>'Step 3'!E109*'Step 3'!E126</f>
        <v>3.0000000000000001E-3</v>
      </c>
      <c r="F141" s="350">
        <f>'Step 3'!F109*'Step 3'!F126</f>
        <v>2.5000000000000005E-3</v>
      </c>
      <c r="G141" s="350">
        <f>'Step 3'!G109*'Step 3'!G126</f>
        <v>0</v>
      </c>
      <c r="H141" s="51"/>
      <c r="I141" s="51"/>
      <c r="J141" s="51"/>
      <c r="K141" s="51"/>
      <c r="L141" s="51"/>
      <c r="M141" s="51"/>
      <c r="N141" s="51"/>
    </row>
    <row r="142" spans="1:14" ht="15.6" x14ac:dyDescent="0.6">
      <c r="A142" s="51"/>
      <c r="B142" s="321"/>
      <c r="C142" s="101">
        <v>4</v>
      </c>
      <c r="D142" s="322"/>
      <c r="E142" s="350">
        <f>'Step 3'!E110*'Step 3'!E127</f>
        <v>2E-3</v>
      </c>
      <c r="F142" s="350">
        <f>'Step 3'!F110*'Step 3'!F127</f>
        <v>0</v>
      </c>
      <c r="G142" s="350">
        <f>'Step 3'!G110*'Step 3'!G127</f>
        <v>0</v>
      </c>
      <c r="H142" s="51"/>
      <c r="I142" s="51"/>
      <c r="J142" s="51"/>
      <c r="K142" s="51"/>
      <c r="L142" s="51"/>
      <c r="M142" s="51"/>
      <c r="N142" s="51"/>
    </row>
    <row r="143" spans="1:14" ht="15.6" x14ac:dyDescent="0.6">
      <c r="A143" s="51"/>
      <c r="B143" s="321"/>
      <c r="C143" s="101">
        <v>5</v>
      </c>
      <c r="D143" s="322"/>
      <c r="E143" s="350">
        <f>'Step 3'!E111*'Step 3'!E128</f>
        <v>2E-3</v>
      </c>
      <c r="F143" s="350">
        <f>'Step 3'!F111*'Step 3'!F128</f>
        <v>0</v>
      </c>
      <c r="G143" s="350">
        <f>'Step 3'!G111*'Step 3'!G128</f>
        <v>0</v>
      </c>
      <c r="H143" s="51"/>
      <c r="I143" s="51"/>
      <c r="J143" s="51"/>
      <c r="K143" s="51"/>
      <c r="L143" s="51"/>
      <c r="M143" s="51"/>
      <c r="N143" s="51"/>
    </row>
    <row r="144" spans="1:14" ht="15.6" x14ac:dyDescent="0.6">
      <c r="A144" s="51"/>
      <c r="B144" s="321"/>
      <c r="C144" s="101">
        <v>6</v>
      </c>
      <c r="D144" s="322"/>
      <c r="E144" s="350">
        <f>'Step 3'!E112*'Step 3'!E129</f>
        <v>2E-3</v>
      </c>
      <c r="F144" s="350">
        <f>'Step 3'!F112*'Step 3'!F129</f>
        <v>0</v>
      </c>
      <c r="G144" s="350">
        <f>'Step 3'!G112*'Step 3'!G129</f>
        <v>0</v>
      </c>
      <c r="H144" s="51"/>
      <c r="I144" s="51"/>
      <c r="J144" s="51"/>
      <c r="K144" s="51"/>
      <c r="L144" s="51"/>
      <c r="M144" s="51"/>
      <c r="N144" s="51"/>
    </row>
    <row r="145" spans="1:14" ht="15.6" x14ac:dyDescent="0.6">
      <c r="A145" s="51"/>
      <c r="B145" s="321"/>
      <c r="C145" s="101">
        <v>7</v>
      </c>
      <c r="D145" s="322"/>
      <c r="E145" s="350">
        <f>'Step 3'!E113*'Step 3'!E130</f>
        <v>2E-3</v>
      </c>
      <c r="F145" s="350">
        <f>'Step 3'!F113*'Step 3'!F130</f>
        <v>0</v>
      </c>
      <c r="G145" s="350">
        <f>'Step 3'!G113*'Step 3'!G130</f>
        <v>0</v>
      </c>
      <c r="H145" s="51"/>
      <c r="I145" s="51"/>
      <c r="J145" s="51"/>
      <c r="K145" s="51"/>
      <c r="L145" s="51"/>
      <c r="M145" s="51"/>
      <c r="N145" s="51"/>
    </row>
    <row r="146" spans="1:14" ht="15.6" x14ac:dyDescent="0.6">
      <c r="A146" s="51"/>
      <c r="B146" s="321"/>
      <c r="C146" s="101">
        <v>8</v>
      </c>
      <c r="D146" s="322"/>
      <c r="E146" s="350">
        <f>'Step 3'!E114*'Step 3'!E131</f>
        <v>2E-3</v>
      </c>
      <c r="F146" s="350">
        <f>'Step 3'!F114*'Step 3'!F131</f>
        <v>0</v>
      </c>
      <c r="G146" s="350">
        <f>'Step 3'!G114*'Step 3'!G131</f>
        <v>0</v>
      </c>
      <c r="H146" s="51"/>
      <c r="I146" s="51"/>
      <c r="J146" s="51"/>
      <c r="K146" s="51"/>
      <c r="L146" s="51"/>
      <c r="M146" s="51"/>
      <c r="N146" s="51"/>
    </row>
    <row r="147" spans="1:14" ht="15.6" x14ac:dyDescent="0.6">
      <c r="A147" s="51"/>
      <c r="B147" s="321"/>
      <c r="C147" s="101">
        <v>9</v>
      </c>
      <c r="D147" s="322"/>
      <c r="E147" s="350">
        <f>'Step 3'!E115*'Step 3'!E132</f>
        <v>2E-3</v>
      </c>
      <c r="F147" s="350">
        <f>'Step 3'!F115*'Step 3'!F132</f>
        <v>0</v>
      </c>
      <c r="G147" s="350">
        <f>'Step 3'!G115*'Step 3'!G132</f>
        <v>0</v>
      </c>
      <c r="H147" s="51"/>
      <c r="I147" s="51"/>
      <c r="J147" s="51"/>
      <c r="K147" s="51"/>
      <c r="L147" s="51"/>
      <c r="M147" s="51"/>
      <c r="N147" s="51"/>
    </row>
    <row r="148" spans="1:14" ht="15.6" x14ac:dyDescent="0.6">
      <c r="A148" s="51"/>
      <c r="B148" s="324"/>
      <c r="C148" s="102">
        <v>10</v>
      </c>
      <c r="D148" s="323"/>
      <c r="E148" s="350">
        <f>'Step 3'!E116*'Step 3'!E133</f>
        <v>2E-3</v>
      </c>
      <c r="F148" s="350">
        <f>'Step 3'!F116*'Step 3'!F133</f>
        <v>0</v>
      </c>
      <c r="G148" s="350">
        <f>'Step 3'!G116*'Step 3'!G133</f>
        <v>0</v>
      </c>
      <c r="H148" s="51"/>
      <c r="I148" s="51"/>
      <c r="J148" s="51"/>
      <c r="K148" s="51"/>
      <c r="L148" s="51"/>
      <c r="M148" s="51"/>
      <c r="N148" s="51"/>
    </row>
    <row r="149" spans="1:14" ht="12.9" x14ac:dyDescent="0.5">
      <c r="A149" s="51"/>
      <c r="B149" s="51"/>
      <c r="C149" s="51"/>
      <c r="D149" s="51"/>
      <c r="E149" s="51"/>
      <c r="F149" s="51"/>
      <c r="G149" s="51"/>
      <c r="H149" s="51"/>
      <c r="I149" s="51"/>
      <c r="J149" s="51"/>
      <c r="K149" s="51"/>
      <c r="L149" s="51"/>
      <c r="M149" s="51"/>
      <c r="N149" s="51"/>
    </row>
    <row r="150" spans="1:14" ht="12.9" x14ac:dyDescent="0.5">
      <c r="A150" s="51"/>
      <c r="B150" s="51"/>
      <c r="C150" s="51"/>
      <c r="D150" s="51"/>
      <c r="E150" s="51"/>
      <c r="F150" s="51"/>
      <c r="G150" s="51"/>
      <c r="H150" s="51"/>
      <c r="I150" s="51"/>
      <c r="J150" s="51"/>
      <c r="K150" s="51"/>
      <c r="L150" s="51"/>
      <c r="M150" s="51"/>
      <c r="N150" s="51"/>
    </row>
    <row r="151" spans="1:14" ht="12.9" x14ac:dyDescent="0.5">
      <c r="A151" s="51"/>
      <c r="B151" s="51"/>
      <c r="C151" s="51"/>
      <c r="D151" s="51"/>
      <c r="E151" s="51"/>
      <c r="F151" s="51"/>
      <c r="G151" s="51"/>
      <c r="H151" s="51"/>
      <c r="I151" s="51"/>
      <c r="J151" s="51"/>
      <c r="K151" s="51"/>
      <c r="L151" s="51"/>
      <c r="M151" s="51"/>
      <c r="N151" s="51"/>
    </row>
    <row r="152" spans="1:14" ht="15.6" x14ac:dyDescent="0.6">
      <c r="A152" s="51"/>
      <c r="H152" s="23"/>
      <c r="I152" s="23"/>
      <c r="J152" s="23"/>
      <c r="K152" s="51"/>
    </row>
    <row r="153" spans="1:14" ht="15.6" x14ac:dyDescent="0.6">
      <c r="A153" s="51"/>
      <c r="H153" s="23"/>
      <c r="I153" s="23"/>
      <c r="J153" s="23"/>
    </row>
    <row r="154" spans="1:14" ht="15.6" x14ac:dyDescent="0.6">
      <c r="A154" s="51"/>
      <c r="H154" s="23"/>
      <c r="I154" s="23"/>
      <c r="J154" s="23"/>
    </row>
    <row r="155" spans="1:14" ht="15.6" x14ac:dyDescent="0.6">
      <c r="A155" s="51"/>
      <c r="H155" s="23"/>
      <c r="I155" s="23"/>
      <c r="J155" s="23"/>
    </row>
    <row r="156" spans="1:14" ht="15.6" x14ac:dyDescent="0.6">
      <c r="A156" s="51"/>
      <c r="H156" s="23"/>
      <c r="I156" s="23"/>
      <c r="J156" s="23"/>
    </row>
    <row r="157" spans="1:14" ht="12.9" x14ac:dyDescent="0.5">
      <c r="A157" s="51"/>
    </row>
    <row r="158" spans="1:14" ht="12.9" x14ac:dyDescent="0.5">
      <c r="A158" s="51"/>
    </row>
    <row r="159" spans="1:14" ht="12.9" x14ac:dyDescent="0.5">
      <c r="A159" s="51"/>
    </row>
    <row r="160" spans="1:14" ht="12.9" x14ac:dyDescent="0.5">
      <c r="A160" s="51"/>
    </row>
    <row r="161" spans="1:16" ht="12.9" x14ac:dyDescent="0.5">
      <c r="A161" s="51"/>
    </row>
    <row r="162" spans="1:16" ht="12.9" x14ac:dyDescent="0.5">
      <c r="A162" s="51"/>
    </row>
    <row r="163" spans="1:16" ht="12.9" x14ac:dyDescent="0.5">
      <c r="A163" s="51"/>
    </row>
    <row r="164" spans="1:16" ht="12.9" x14ac:dyDescent="0.5">
      <c r="A164" s="51"/>
    </row>
    <row r="165" spans="1:16" ht="12.9" x14ac:dyDescent="0.5">
      <c r="A165" s="51"/>
    </row>
    <row r="166" spans="1:16" ht="15.6" x14ac:dyDescent="0.6">
      <c r="A166" s="51"/>
      <c r="H166" s="51"/>
      <c r="I166" s="51"/>
      <c r="J166" s="51"/>
      <c r="K166" s="51"/>
      <c r="L166" s="23"/>
      <c r="M166" s="23"/>
      <c r="N166" s="23"/>
      <c r="O166" s="12"/>
      <c r="P166" s="12"/>
    </row>
    <row r="167" spans="1:16" ht="15.6" x14ac:dyDescent="0.6">
      <c r="A167" s="51"/>
      <c r="I167" s="51"/>
      <c r="J167" s="51"/>
      <c r="K167" s="51"/>
      <c r="L167" s="23"/>
      <c r="M167" s="23"/>
      <c r="N167" s="23"/>
      <c r="O167" s="12"/>
      <c r="P167" s="12"/>
    </row>
    <row r="168" spans="1:16" ht="15.6" x14ac:dyDescent="0.6">
      <c r="A168" s="51"/>
      <c r="B168" s="1"/>
      <c r="I168" s="51"/>
      <c r="J168" s="51"/>
      <c r="K168" s="51"/>
      <c r="L168" s="23"/>
      <c r="M168" s="23"/>
      <c r="N168" s="23"/>
      <c r="O168" s="12"/>
      <c r="P168" s="12"/>
    </row>
    <row r="169" spans="1:16" ht="12.9" x14ac:dyDescent="0.5">
      <c r="A169" s="51"/>
      <c r="B169" s="1"/>
      <c r="I169" s="51"/>
      <c r="J169" s="51"/>
      <c r="K169" s="51"/>
      <c r="L169" s="51"/>
      <c r="M169" s="51"/>
      <c r="N169" s="51"/>
    </row>
    <row r="170" spans="1:16" ht="12.9" x14ac:dyDescent="0.5">
      <c r="A170" s="51"/>
      <c r="B170" s="1"/>
      <c r="I170" s="51"/>
      <c r="J170" s="51"/>
      <c r="K170" s="51"/>
      <c r="L170" s="51"/>
      <c r="M170" s="51"/>
      <c r="N170" s="51"/>
    </row>
    <row r="171" spans="1:16" ht="12.9" x14ac:dyDescent="0.5">
      <c r="A171" s="51"/>
      <c r="B171" s="1"/>
      <c r="I171" s="51"/>
      <c r="J171" s="51"/>
      <c r="K171" s="51"/>
      <c r="L171" s="51"/>
      <c r="M171" s="51"/>
      <c r="N171" s="51"/>
    </row>
    <row r="172" spans="1:16" ht="12.9" x14ac:dyDescent="0.5">
      <c r="A172" s="51"/>
      <c r="B172" s="1"/>
      <c r="I172" s="51"/>
      <c r="J172" s="51"/>
      <c r="K172" s="51"/>
      <c r="L172" s="51"/>
      <c r="M172" s="51"/>
      <c r="N172" s="51"/>
    </row>
    <row r="173" spans="1:16" ht="12.9" x14ac:dyDescent="0.5">
      <c r="A173" s="51"/>
      <c r="B173" s="1"/>
      <c r="I173" s="51"/>
      <c r="J173" s="51"/>
      <c r="K173" s="51"/>
      <c r="L173" s="51"/>
      <c r="M173" s="51"/>
      <c r="N173" s="51"/>
    </row>
    <row r="174" spans="1:16" ht="12.9" x14ac:dyDescent="0.5">
      <c r="A174" s="51"/>
      <c r="B174" s="5"/>
      <c r="I174" s="51"/>
      <c r="J174" s="51"/>
      <c r="K174" s="51"/>
      <c r="L174" s="51"/>
      <c r="M174" s="51"/>
      <c r="N174" s="51"/>
    </row>
    <row r="175" spans="1:16" ht="12.9" x14ac:dyDescent="0.5">
      <c r="A175" s="51"/>
      <c r="B175" s="51"/>
      <c r="I175" s="51"/>
      <c r="J175" s="51"/>
      <c r="K175" s="51"/>
      <c r="L175" s="51"/>
      <c r="M175" s="51"/>
      <c r="N175" s="51"/>
    </row>
    <row r="176" spans="1:16" ht="12.9" x14ac:dyDescent="0.5">
      <c r="A176" s="51"/>
      <c r="B176" s="51"/>
      <c r="C176" s="51"/>
      <c r="D176" s="51"/>
      <c r="E176" s="51"/>
      <c r="F176" s="51"/>
      <c r="G176" s="51"/>
      <c r="H176" s="51"/>
      <c r="I176" s="51"/>
      <c r="J176" s="51"/>
      <c r="K176" s="51"/>
      <c r="L176" s="51"/>
      <c r="M176" s="51"/>
      <c r="N176" s="51"/>
    </row>
    <row r="177" spans="1:15" ht="12.9" x14ac:dyDescent="0.5">
      <c r="A177" s="51"/>
      <c r="B177" s="51"/>
      <c r="C177" s="3"/>
      <c r="D177" s="8"/>
      <c r="E177" s="16"/>
      <c r="F177" s="8"/>
      <c r="G177" s="8"/>
      <c r="H177" s="8"/>
      <c r="I177" s="51"/>
      <c r="J177" s="51"/>
      <c r="K177" s="51"/>
      <c r="L177" s="51"/>
      <c r="M177" s="51"/>
      <c r="N177" s="51"/>
    </row>
    <row r="178" spans="1:15" ht="12.9" x14ac:dyDescent="0.5">
      <c r="A178" s="51"/>
      <c r="B178" s="51"/>
      <c r="C178" s="51"/>
      <c r="D178" s="51"/>
      <c r="E178" s="51"/>
      <c r="F178" s="51"/>
      <c r="G178" s="51"/>
      <c r="H178" s="51"/>
      <c r="I178" s="51"/>
      <c r="J178" s="51"/>
      <c r="K178" s="51"/>
      <c r="L178" s="51"/>
      <c r="M178" s="51"/>
      <c r="N178" s="51"/>
    </row>
    <row r="179" spans="1:15" ht="12.9" x14ac:dyDescent="0.5">
      <c r="A179" s="51"/>
      <c r="B179" s="51"/>
      <c r="C179" s="51"/>
      <c r="D179" s="51"/>
      <c r="E179" s="51"/>
      <c r="F179" s="51"/>
      <c r="G179" s="51"/>
      <c r="H179" s="51"/>
      <c r="I179" s="51"/>
      <c r="J179" s="51"/>
      <c r="K179" s="51"/>
      <c r="L179" s="51"/>
      <c r="M179" s="51"/>
      <c r="N179" s="51"/>
    </row>
    <row r="180" spans="1:15" ht="12.9" x14ac:dyDescent="0.5">
      <c r="A180" s="51"/>
      <c r="B180" s="51"/>
      <c r="C180" s="51"/>
      <c r="D180" s="51"/>
      <c r="E180" s="51"/>
      <c r="F180" s="51"/>
      <c r="G180" s="51"/>
      <c r="H180" s="51"/>
      <c r="I180" s="51"/>
      <c r="J180" s="51"/>
      <c r="K180" s="51"/>
      <c r="L180" s="51"/>
      <c r="M180" s="51"/>
      <c r="N180" s="51"/>
    </row>
    <row r="181" spans="1:15" ht="12.9" x14ac:dyDescent="0.5">
      <c r="A181" s="51"/>
      <c r="B181" s="51"/>
      <c r="C181" s="51"/>
      <c r="D181" s="51"/>
      <c r="E181" s="51"/>
      <c r="F181" s="51"/>
      <c r="G181" s="51"/>
      <c r="H181" s="51"/>
      <c r="I181" s="51"/>
      <c r="J181" s="51"/>
      <c r="K181" s="51"/>
      <c r="L181" s="51"/>
      <c r="M181" s="51"/>
      <c r="N181" s="51"/>
    </row>
    <row r="182" spans="1:15" ht="12.9" x14ac:dyDescent="0.5">
      <c r="A182" s="51"/>
      <c r="B182" s="51"/>
      <c r="C182" s="51"/>
      <c r="D182" s="51"/>
      <c r="E182" s="51"/>
      <c r="F182" s="51"/>
      <c r="G182" s="51"/>
      <c r="H182" s="51"/>
      <c r="I182" s="51"/>
      <c r="J182" s="51"/>
      <c r="K182" s="51"/>
      <c r="L182" s="51"/>
      <c r="M182" s="51"/>
      <c r="N182" s="51"/>
      <c r="O182" s="51"/>
    </row>
    <row r="183" spans="1:15" ht="12.9" x14ac:dyDescent="0.5">
      <c r="A183" s="51"/>
      <c r="B183" s="51"/>
      <c r="C183" s="51"/>
      <c r="D183" s="51"/>
      <c r="E183" s="51"/>
      <c r="F183" s="51"/>
      <c r="G183" s="51"/>
      <c r="H183" s="51"/>
      <c r="I183" s="51"/>
      <c r="J183" s="51"/>
      <c r="K183" s="51"/>
      <c r="L183" s="51"/>
      <c r="M183" s="51"/>
      <c r="N183" s="51"/>
      <c r="O183" s="51"/>
    </row>
    <row r="184" spans="1:15" ht="12.9" x14ac:dyDescent="0.5">
      <c r="A184" s="51"/>
      <c r="B184" s="51"/>
      <c r="C184" s="51"/>
      <c r="D184" s="51"/>
      <c r="E184" s="51"/>
      <c r="F184" s="51"/>
      <c r="G184" s="51"/>
      <c r="H184" s="51"/>
      <c r="I184" s="51"/>
      <c r="J184" s="51"/>
      <c r="K184" s="51"/>
      <c r="L184" s="51"/>
      <c r="M184" s="51"/>
      <c r="N184" s="51"/>
      <c r="O184" s="51"/>
    </row>
    <row r="185" spans="1:15" ht="12.9" x14ac:dyDescent="0.5">
      <c r="A185" s="51"/>
      <c r="B185" s="51"/>
      <c r="C185" s="51"/>
      <c r="D185" s="51"/>
      <c r="E185" s="51"/>
      <c r="F185" s="51"/>
      <c r="G185" s="51"/>
      <c r="H185" s="51"/>
      <c r="I185" s="51"/>
      <c r="J185" s="51"/>
      <c r="K185" s="51"/>
      <c r="L185" s="51"/>
      <c r="M185" s="51"/>
      <c r="N185" s="51"/>
      <c r="O185" s="51"/>
    </row>
    <row r="186" spans="1:15" ht="12.9" x14ac:dyDescent="0.5">
      <c r="A186" s="51"/>
      <c r="B186" s="51"/>
      <c r="C186" s="51"/>
      <c r="D186" s="51"/>
      <c r="E186" s="51"/>
      <c r="F186" s="51"/>
      <c r="G186" s="51"/>
      <c r="H186" s="51"/>
      <c r="I186" s="51"/>
      <c r="J186" s="51"/>
      <c r="K186" s="51"/>
      <c r="L186" s="51"/>
      <c r="M186" s="51"/>
      <c r="N186" s="51"/>
      <c r="O186" s="51"/>
    </row>
    <row r="187" spans="1:15" ht="12.9" x14ac:dyDescent="0.5">
      <c r="A187" s="51"/>
      <c r="B187" s="51"/>
      <c r="C187" s="51"/>
      <c r="D187" s="51"/>
      <c r="E187" s="51"/>
      <c r="F187" s="51"/>
      <c r="G187" s="51"/>
      <c r="H187" s="51"/>
      <c r="I187" s="51"/>
      <c r="J187" s="51"/>
      <c r="K187" s="51"/>
      <c r="L187" s="51"/>
      <c r="M187" s="51"/>
      <c r="N187" s="51"/>
      <c r="O187" s="51"/>
    </row>
    <row r="188" spans="1:15" ht="12.9" x14ac:dyDescent="0.5">
      <c r="A188" s="51"/>
      <c r="B188" s="51"/>
      <c r="C188" s="51"/>
      <c r="D188" s="51"/>
      <c r="E188" s="51"/>
      <c r="F188" s="51"/>
      <c r="G188" s="51"/>
      <c r="H188" s="51"/>
      <c r="I188" s="51"/>
      <c r="J188" s="51"/>
      <c r="K188" s="51"/>
      <c r="L188" s="51"/>
      <c r="M188" s="51"/>
      <c r="N188" s="51"/>
      <c r="O188" s="51"/>
    </row>
    <row r="189" spans="1:15" ht="12.9" x14ac:dyDescent="0.5">
      <c r="A189" s="51"/>
      <c r="B189" s="51"/>
      <c r="C189" s="51"/>
      <c r="D189" s="51"/>
      <c r="E189" s="51"/>
      <c r="F189" s="51"/>
      <c r="G189" s="51"/>
      <c r="H189" s="51"/>
      <c r="I189" s="51"/>
      <c r="J189" s="51"/>
      <c r="K189" s="51"/>
      <c r="L189" s="51"/>
      <c r="M189" s="51"/>
      <c r="N189" s="51"/>
      <c r="O189" s="51"/>
    </row>
    <row r="190" spans="1:15" ht="12.9" x14ac:dyDescent="0.5">
      <c r="A190" s="51"/>
      <c r="B190" s="51"/>
      <c r="C190" s="51"/>
      <c r="D190" s="51"/>
      <c r="E190" s="51"/>
      <c r="F190" s="51"/>
      <c r="G190" s="51"/>
      <c r="H190" s="51"/>
      <c r="I190" s="51"/>
      <c r="J190" s="51"/>
      <c r="K190" s="51"/>
      <c r="L190" s="51"/>
      <c r="M190" s="51"/>
      <c r="N190" s="51"/>
      <c r="O190" s="51"/>
    </row>
    <row r="191" spans="1:15" ht="12.9" x14ac:dyDescent="0.5">
      <c r="A191" s="51"/>
      <c r="B191" s="51"/>
      <c r="C191" s="51"/>
      <c r="D191" s="51"/>
      <c r="E191" s="51"/>
      <c r="F191" s="51"/>
      <c r="G191" s="51"/>
      <c r="H191" s="51"/>
      <c r="I191" s="51"/>
      <c r="J191" s="51"/>
      <c r="K191" s="51"/>
      <c r="L191" s="51"/>
      <c r="M191" s="51"/>
      <c r="N191" s="51"/>
      <c r="O191" s="51"/>
    </row>
    <row r="192" spans="1:15" ht="12.9" x14ac:dyDescent="0.5">
      <c r="A192" s="51"/>
      <c r="B192" s="51"/>
      <c r="C192" s="51"/>
      <c r="D192" s="51"/>
      <c r="E192" s="51"/>
      <c r="F192" s="51"/>
      <c r="G192" s="51"/>
      <c r="H192" s="51"/>
      <c r="I192" s="51"/>
      <c r="J192" s="51"/>
      <c r="K192" s="51"/>
      <c r="L192" s="51"/>
      <c r="M192" s="51"/>
      <c r="N192" s="51"/>
      <c r="O192" s="51"/>
    </row>
    <row r="193" spans="1:15" ht="12.9" x14ac:dyDescent="0.5">
      <c r="A193" s="51"/>
      <c r="B193" s="51"/>
      <c r="C193" s="51"/>
      <c r="D193" s="51"/>
      <c r="E193" s="51"/>
      <c r="F193" s="51"/>
      <c r="G193" s="51"/>
      <c r="H193" s="51"/>
      <c r="I193" s="51"/>
      <c r="J193" s="51"/>
      <c r="K193" s="51"/>
      <c r="L193" s="51"/>
      <c r="M193" s="51"/>
      <c r="N193" s="51"/>
      <c r="O193" s="51"/>
    </row>
    <row r="194" spans="1:15" ht="12.9" x14ac:dyDescent="0.5">
      <c r="A194" s="51"/>
      <c r="B194" s="51"/>
      <c r="C194" s="51"/>
      <c r="D194" s="51"/>
      <c r="E194" s="51"/>
      <c r="F194" s="51"/>
      <c r="G194" s="51"/>
      <c r="H194" s="51"/>
      <c r="I194" s="51"/>
      <c r="J194" s="51"/>
      <c r="K194" s="51"/>
      <c r="L194" s="51"/>
      <c r="M194" s="51"/>
      <c r="N194" s="51"/>
      <c r="O194" s="51"/>
    </row>
    <row r="195" spans="1:15" ht="12.9" x14ac:dyDescent="0.5">
      <c r="A195" s="51"/>
      <c r="B195" s="51"/>
      <c r="C195" s="51"/>
      <c r="D195" s="51"/>
      <c r="E195" s="51"/>
      <c r="F195" s="51"/>
      <c r="G195" s="51"/>
      <c r="H195" s="51"/>
      <c r="I195" s="51"/>
      <c r="J195" s="51"/>
      <c r="K195" s="51"/>
      <c r="L195" s="51"/>
      <c r="M195" s="51"/>
      <c r="N195" s="51"/>
      <c r="O195" s="51"/>
    </row>
    <row r="196" spans="1:15" ht="12.9" x14ac:dyDescent="0.5">
      <c r="A196" s="51"/>
      <c r="B196" s="51"/>
      <c r="C196" s="51"/>
      <c r="D196" s="51"/>
      <c r="E196" s="51"/>
      <c r="F196" s="51"/>
      <c r="G196" s="51"/>
      <c r="H196" s="51"/>
      <c r="I196" s="51"/>
      <c r="J196" s="51"/>
      <c r="K196" s="51"/>
      <c r="L196" s="51"/>
      <c r="M196" s="51"/>
      <c r="N196" s="51"/>
      <c r="O196" s="51"/>
    </row>
    <row r="197" spans="1:15" ht="12.9" x14ac:dyDescent="0.5">
      <c r="A197" s="51"/>
      <c r="B197" s="51"/>
      <c r="C197" s="51"/>
      <c r="D197" s="51"/>
      <c r="E197" s="51"/>
      <c r="F197" s="51"/>
      <c r="G197" s="51"/>
      <c r="H197" s="51"/>
      <c r="I197" s="51"/>
      <c r="J197" s="51"/>
      <c r="K197" s="51"/>
      <c r="L197" s="51"/>
      <c r="M197" s="51"/>
      <c r="N197" s="51"/>
      <c r="O197" s="51"/>
    </row>
    <row r="198" spans="1:15" ht="12.9" x14ac:dyDescent="0.5">
      <c r="A198" s="51"/>
      <c r="B198" s="51"/>
      <c r="C198" s="51"/>
      <c r="D198" s="51"/>
      <c r="E198" s="51"/>
      <c r="F198" s="51"/>
      <c r="G198" s="51"/>
      <c r="H198" s="51"/>
      <c r="I198" s="51"/>
      <c r="J198" s="51"/>
      <c r="K198" s="51"/>
      <c r="L198" s="51"/>
      <c r="M198" s="51"/>
      <c r="N198" s="51"/>
      <c r="O198" s="51"/>
    </row>
    <row r="199" spans="1:15" ht="12.9" x14ac:dyDescent="0.5">
      <c r="A199" s="51"/>
      <c r="B199" s="51"/>
      <c r="C199" s="51"/>
      <c r="D199" s="51"/>
      <c r="E199" s="51"/>
      <c r="F199" s="51"/>
      <c r="G199" s="51"/>
      <c r="H199" s="51"/>
      <c r="I199" s="51"/>
      <c r="J199" s="51"/>
      <c r="K199" s="51"/>
      <c r="L199" s="51"/>
      <c r="M199" s="51"/>
      <c r="N199" s="51"/>
      <c r="O199" s="51"/>
    </row>
    <row r="200" spans="1:15" ht="12.9" x14ac:dyDescent="0.5">
      <c r="A200" s="51"/>
      <c r="B200" s="51"/>
      <c r="C200" s="51"/>
      <c r="D200" s="51"/>
      <c r="E200" s="51"/>
      <c r="F200" s="51"/>
      <c r="G200" s="51"/>
      <c r="H200" s="51"/>
      <c r="I200" s="51"/>
      <c r="J200" s="51"/>
      <c r="K200" s="51"/>
      <c r="L200" s="51"/>
      <c r="M200" s="51"/>
      <c r="N200" s="51"/>
      <c r="O200" s="51"/>
    </row>
    <row r="201" spans="1:15" ht="12.9" x14ac:dyDescent="0.5">
      <c r="A201" s="51"/>
      <c r="B201" s="51"/>
      <c r="C201" s="51"/>
      <c r="D201" s="51"/>
      <c r="E201" s="51"/>
      <c r="F201" s="51"/>
      <c r="G201" s="51"/>
      <c r="H201" s="51"/>
      <c r="I201" s="51"/>
      <c r="J201" s="51"/>
      <c r="K201" s="51"/>
      <c r="L201" s="51"/>
      <c r="M201" s="51"/>
      <c r="N201" s="51"/>
      <c r="O201" s="51"/>
    </row>
    <row r="202" spans="1:15" ht="12.9" x14ac:dyDescent="0.5">
      <c r="A202" s="51"/>
      <c r="B202" s="51"/>
      <c r="C202" s="51"/>
      <c r="D202" s="51"/>
      <c r="E202" s="51"/>
      <c r="F202" s="51"/>
      <c r="G202" s="51"/>
      <c r="H202" s="51"/>
      <c r="I202" s="51"/>
      <c r="J202" s="51"/>
      <c r="K202" s="51"/>
      <c r="L202" s="51"/>
      <c r="M202" s="51"/>
      <c r="N202" s="51"/>
      <c r="O202" s="51"/>
    </row>
    <row r="203" spans="1:15" ht="12.9" x14ac:dyDescent="0.5">
      <c r="A203" s="51"/>
      <c r="B203" s="51"/>
      <c r="C203" s="51"/>
      <c r="D203" s="51"/>
      <c r="E203" s="51"/>
      <c r="F203" s="51"/>
      <c r="G203" s="51"/>
      <c r="H203" s="51"/>
      <c r="I203" s="51"/>
      <c r="J203" s="51"/>
      <c r="K203" s="51"/>
      <c r="L203" s="51"/>
      <c r="M203" s="51"/>
      <c r="N203" s="51"/>
      <c r="O203" s="51"/>
    </row>
    <row r="204" spans="1:15" ht="12.9" x14ac:dyDescent="0.5">
      <c r="A204" s="51"/>
      <c r="B204" s="51"/>
      <c r="C204" s="51"/>
      <c r="D204" s="51"/>
      <c r="E204" s="51"/>
      <c r="F204" s="51"/>
      <c r="G204" s="51"/>
      <c r="H204" s="51"/>
      <c r="I204" s="51"/>
      <c r="J204" s="51"/>
      <c r="K204" s="51"/>
      <c r="L204" s="51"/>
      <c r="M204" s="51"/>
      <c r="N204" s="51"/>
      <c r="O204" s="51"/>
    </row>
    <row r="205" spans="1:15" ht="12.9" x14ac:dyDescent="0.5">
      <c r="A205" s="51"/>
      <c r="B205" s="51"/>
      <c r="C205" s="51"/>
      <c r="D205" s="51"/>
      <c r="E205" s="51"/>
      <c r="F205" s="51"/>
      <c r="G205" s="51"/>
      <c r="H205" s="51"/>
      <c r="I205" s="51"/>
      <c r="J205" s="51"/>
      <c r="K205" s="51"/>
      <c r="L205" s="51"/>
      <c r="M205" s="51"/>
      <c r="N205" s="51"/>
      <c r="O205" s="51"/>
    </row>
    <row r="206" spans="1:15" ht="12.9" x14ac:dyDescent="0.5">
      <c r="A206" s="51"/>
      <c r="B206" s="51"/>
      <c r="C206" s="51"/>
      <c r="D206" s="51"/>
      <c r="E206" s="51"/>
      <c r="F206" s="51"/>
      <c r="G206" s="51"/>
      <c r="H206" s="51"/>
      <c r="I206" s="51"/>
      <c r="J206" s="51"/>
      <c r="K206" s="51"/>
      <c r="L206" s="51"/>
      <c r="M206" s="51"/>
      <c r="N206" s="51"/>
      <c r="O206" s="51"/>
    </row>
    <row r="207" spans="1:15" ht="12.9" x14ac:dyDescent="0.5">
      <c r="A207" s="51"/>
      <c r="B207" s="51"/>
      <c r="C207" s="51"/>
      <c r="D207" s="51"/>
      <c r="E207" s="51"/>
      <c r="F207" s="51"/>
      <c r="G207" s="51"/>
      <c r="H207" s="51"/>
      <c r="I207" s="51"/>
      <c r="J207" s="51"/>
      <c r="K207" s="51"/>
      <c r="L207" s="51"/>
      <c r="M207" s="51"/>
      <c r="N207" s="51"/>
      <c r="O207" s="51"/>
    </row>
    <row r="208" spans="1:15" ht="12.9" x14ac:dyDescent="0.5">
      <c r="A208" s="51"/>
      <c r="B208" s="51"/>
      <c r="C208" s="51"/>
      <c r="D208" s="51"/>
      <c r="E208" s="51"/>
      <c r="F208" s="51"/>
      <c r="G208" s="51"/>
      <c r="H208" s="51"/>
      <c r="I208" s="51"/>
      <c r="J208" s="51"/>
      <c r="K208" s="51"/>
      <c r="L208" s="51"/>
      <c r="M208" s="51"/>
      <c r="N208" s="51"/>
      <c r="O208" s="51"/>
    </row>
    <row r="209" spans="1:15" ht="12.9" x14ac:dyDescent="0.5">
      <c r="A209" s="51"/>
      <c r="B209" s="51"/>
      <c r="C209" s="51"/>
      <c r="D209" s="51"/>
      <c r="E209" s="51"/>
      <c r="F209" s="51"/>
      <c r="G209" s="51"/>
      <c r="H209" s="51"/>
      <c r="I209" s="51"/>
      <c r="J209" s="51"/>
      <c r="K209" s="51"/>
      <c r="L209" s="51"/>
      <c r="M209" s="51"/>
      <c r="N209" s="51"/>
      <c r="O209" s="51"/>
    </row>
    <row r="210" spans="1:15" ht="12.9" x14ac:dyDescent="0.5">
      <c r="A210" s="51"/>
      <c r="B210" s="51"/>
      <c r="C210" s="51"/>
      <c r="D210" s="51"/>
      <c r="E210" s="51"/>
      <c r="F210" s="51"/>
      <c r="G210" s="51"/>
      <c r="H210" s="51"/>
      <c r="I210" s="51"/>
      <c r="J210" s="51"/>
      <c r="K210" s="51"/>
      <c r="L210" s="51"/>
      <c r="M210" s="51"/>
      <c r="N210" s="51"/>
      <c r="O210" s="51"/>
    </row>
    <row r="211" spans="1:15" ht="12.9" x14ac:dyDescent="0.5">
      <c r="A211" s="51"/>
      <c r="B211" s="51"/>
      <c r="C211" s="51"/>
      <c r="D211" s="51"/>
      <c r="E211" s="51"/>
      <c r="F211" s="51"/>
      <c r="G211" s="51"/>
      <c r="H211" s="51"/>
      <c r="I211" s="51"/>
      <c r="J211" s="51"/>
      <c r="K211" s="51"/>
      <c r="L211" s="51"/>
      <c r="M211" s="51"/>
      <c r="N211" s="51"/>
      <c r="O211" s="51"/>
    </row>
    <row r="212" spans="1:15" ht="12.9" x14ac:dyDescent="0.5">
      <c r="A212" s="51"/>
      <c r="B212" s="51"/>
      <c r="C212" s="51"/>
      <c r="D212" s="51"/>
      <c r="E212" s="51"/>
      <c r="F212" s="51"/>
      <c r="G212" s="51"/>
      <c r="H212" s="51"/>
      <c r="I212" s="51"/>
      <c r="J212" s="51"/>
      <c r="K212" s="51"/>
      <c r="L212" s="51"/>
      <c r="M212" s="51"/>
      <c r="N212" s="51"/>
      <c r="O212" s="51"/>
    </row>
    <row r="213" spans="1:15" ht="12.9" x14ac:dyDescent="0.5">
      <c r="A213" s="51"/>
      <c r="B213" s="51"/>
      <c r="C213" s="51"/>
      <c r="D213" s="51"/>
      <c r="E213" s="51"/>
      <c r="F213" s="51"/>
      <c r="G213" s="51"/>
      <c r="H213" s="51"/>
      <c r="I213" s="51"/>
      <c r="J213" s="51"/>
      <c r="K213" s="51"/>
      <c r="L213" s="51"/>
      <c r="M213" s="51"/>
      <c r="N213" s="51"/>
      <c r="O213" s="51"/>
    </row>
    <row r="214" spans="1:15" ht="12.9" x14ac:dyDescent="0.5">
      <c r="A214" s="51"/>
      <c r="B214" s="51"/>
      <c r="C214" s="51"/>
      <c r="D214" s="51"/>
      <c r="E214" s="51"/>
      <c r="F214" s="51"/>
      <c r="G214" s="51"/>
      <c r="H214" s="51"/>
      <c r="I214" s="51"/>
      <c r="J214" s="51"/>
      <c r="K214" s="51"/>
      <c r="L214" s="51"/>
      <c r="M214" s="51"/>
      <c r="N214" s="51"/>
      <c r="O214" s="51"/>
    </row>
    <row r="215" spans="1:15" ht="12.9" x14ac:dyDescent="0.5">
      <c r="A215" s="51"/>
      <c r="B215" s="51"/>
      <c r="C215" s="51"/>
      <c r="D215" s="51"/>
      <c r="E215" s="51"/>
      <c r="F215" s="51"/>
      <c r="G215" s="51"/>
      <c r="H215" s="51"/>
      <c r="I215" s="51"/>
      <c r="J215" s="51"/>
      <c r="K215" s="51"/>
      <c r="L215" s="51"/>
      <c r="M215" s="51"/>
      <c r="N215" s="51"/>
      <c r="O215" s="51"/>
    </row>
    <row r="216" spans="1:15" ht="12.9" x14ac:dyDescent="0.5">
      <c r="A216" s="51"/>
      <c r="B216" s="51"/>
      <c r="C216" s="51"/>
      <c r="D216" s="51"/>
      <c r="E216" s="51"/>
      <c r="F216" s="51"/>
      <c r="G216" s="51"/>
      <c r="H216" s="51"/>
      <c r="I216" s="51"/>
      <c r="J216" s="51"/>
      <c r="K216" s="51"/>
      <c r="L216" s="51"/>
      <c r="M216" s="51"/>
      <c r="N216" s="51"/>
      <c r="O216" s="51"/>
    </row>
    <row r="217" spans="1:15" ht="12.9" x14ac:dyDescent="0.5">
      <c r="A217" s="51"/>
      <c r="B217" s="51"/>
      <c r="C217" s="51"/>
      <c r="D217" s="51"/>
      <c r="E217" s="51"/>
      <c r="F217" s="51"/>
      <c r="G217" s="51"/>
      <c r="H217" s="51"/>
      <c r="I217" s="51"/>
      <c r="J217" s="51"/>
      <c r="K217" s="51"/>
      <c r="L217" s="51"/>
      <c r="M217" s="51"/>
      <c r="N217" s="51"/>
      <c r="O217" s="51"/>
    </row>
    <row r="218" spans="1:15" ht="12.9" x14ac:dyDescent="0.5">
      <c r="A218" s="51"/>
      <c r="B218" s="51"/>
      <c r="C218" s="51"/>
      <c r="D218" s="51"/>
      <c r="E218" s="51"/>
      <c r="F218" s="51"/>
      <c r="G218" s="51"/>
      <c r="H218" s="51"/>
      <c r="I218" s="51"/>
      <c r="J218" s="51"/>
      <c r="K218" s="51"/>
      <c r="L218" s="51"/>
      <c r="M218" s="51"/>
      <c r="N218" s="51"/>
      <c r="O218" s="51"/>
    </row>
    <row r="219" spans="1:15" ht="12.9" x14ac:dyDescent="0.5">
      <c r="A219" s="51"/>
      <c r="B219" s="51"/>
      <c r="C219" s="51"/>
      <c r="D219" s="51"/>
      <c r="E219" s="51"/>
      <c r="F219" s="51"/>
      <c r="G219" s="51"/>
      <c r="H219" s="51"/>
      <c r="I219" s="51"/>
      <c r="J219" s="51"/>
      <c r="K219" s="51"/>
      <c r="L219" s="51"/>
      <c r="M219" s="51"/>
      <c r="N219" s="51"/>
      <c r="O219" s="51"/>
    </row>
    <row r="220" spans="1:15" ht="12.9" x14ac:dyDescent="0.5">
      <c r="A220" s="51"/>
      <c r="B220" s="51"/>
      <c r="C220" s="51"/>
      <c r="D220" s="51"/>
      <c r="E220" s="51"/>
      <c r="F220" s="51"/>
      <c r="G220" s="51"/>
      <c r="H220" s="51"/>
      <c r="I220" s="51"/>
      <c r="J220" s="51"/>
      <c r="K220" s="51"/>
      <c r="L220" s="51"/>
      <c r="M220" s="51"/>
      <c r="N220" s="51"/>
      <c r="O220" s="51"/>
    </row>
    <row r="221" spans="1:15" ht="12.9" x14ac:dyDescent="0.5">
      <c r="A221" s="51"/>
      <c r="B221" s="51"/>
      <c r="C221" s="51"/>
      <c r="D221" s="51"/>
      <c r="E221" s="51"/>
      <c r="F221" s="51"/>
      <c r="G221" s="51"/>
      <c r="H221" s="51"/>
      <c r="I221" s="51"/>
      <c r="J221" s="51"/>
      <c r="K221" s="51"/>
      <c r="L221" s="51"/>
      <c r="M221" s="51"/>
      <c r="N221" s="51"/>
      <c r="O221" s="51"/>
    </row>
    <row r="222" spans="1:15" ht="12.9" x14ac:dyDescent="0.5">
      <c r="A222" s="51"/>
      <c r="B222" s="51"/>
      <c r="C222" s="51"/>
      <c r="D222" s="51"/>
      <c r="E222" s="51"/>
      <c r="F222" s="51"/>
      <c r="G222" s="51"/>
      <c r="H222" s="51"/>
      <c r="I222" s="51"/>
      <c r="J222" s="51"/>
      <c r="K222" s="51"/>
      <c r="L222" s="51"/>
      <c r="M222" s="51"/>
      <c r="N222" s="51"/>
      <c r="O222" s="51"/>
    </row>
    <row r="223" spans="1:15" ht="12.9" x14ac:dyDescent="0.5">
      <c r="A223" s="51"/>
      <c r="B223" s="51"/>
      <c r="C223" s="51"/>
      <c r="D223" s="51"/>
      <c r="E223" s="51"/>
      <c r="F223" s="51"/>
      <c r="G223" s="51"/>
      <c r="H223" s="51"/>
      <c r="I223" s="51"/>
      <c r="J223" s="51"/>
      <c r="K223" s="51"/>
      <c r="L223" s="51"/>
      <c r="M223" s="51"/>
      <c r="N223" s="51"/>
      <c r="O223" s="51"/>
    </row>
    <row r="224" spans="1:15" ht="12.9" x14ac:dyDescent="0.5">
      <c r="A224" s="51"/>
      <c r="B224" s="51"/>
      <c r="C224" s="51"/>
      <c r="D224" s="51"/>
      <c r="E224" s="51"/>
      <c r="F224" s="51"/>
      <c r="G224" s="51"/>
      <c r="H224" s="51"/>
      <c r="I224" s="51"/>
      <c r="J224" s="51"/>
      <c r="K224" s="51"/>
      <c r="L224" s="51"/>
      <c r="M224" s="51"/>
      <c r="N224" s="51"/>
      <c r="O224" s="51"/>
    </row>
    <row r="225" spans="1:15" ht="12.9" x14ac:dyDescent="0.5">
      <c r="A225" s="51"/>
      <c r="B225" s="51"/>
      <c r="C225" s="51"/>
      <c r="D225" s="51"/>
      <c r="E225" s="51"/>
      <c r="F225" s="51"/>
      <c r="G225" s="51"/>
      <c r="H225" s="51"/>
      <c r="I225" s="51"/>
      <c r="J225" s="51"/>
      <c r="K225" s="51"/>
      <c r="L225" s="51"/>
      <c r="M225" s="51"/>
      <c r="N225" s="51"/>
      <c r="O225" s="51"/>
    </row>
    <row r="226" spans="1:15" ht="12.9" x14ac:dyDescent="0.5">
      <c r="A226" s="51"/>
      <c r="B226" s="51"/>
      <c r="C226" s="51"/>
      <c r="D226" s="51"/>
      <c r="E226" s="51"/>
      <c r="F226" s="51"/>
      <c r="G226" s="51"/>
      <c r="H226" s="51"/>
      <c r="I226" s="51"/>
      <c r="J226" s="51"/>
      <c r="K226" s="51"/>
      <c r="L226" s="51"/>
      <c r="M226" s="51"/>
      <c r="N226" s="51"/>
      <c r="O226" s="51"/>
    </row>
    <row r="227" spans="1:15" ht="12.9" x14ac:dyDescent="0.5">
      <c r="A227" s="51"/>
      <c r="B227" s="51"/>
      <c r="C227" s="51"/>
      <c r="D227" s="51"/>
      <c r="E227" s="51"/>
      <c r="F227" s="51"/>
      <c r="G227" s="51"/>
      <c r="H227" s="51"/>
      <c r="I227" s="51"/>
      <c r="J227" s="51"/>
      <c r="K227" s="51"/>
      <c r="L227" s="51"/>
      <c r="M227" s="51"/>
      <c r="N227" s="51"/>
      <c r="O227" s="51"/>
    </row>
    <row r="228" spans="1:15" ht="12.9" x14ac:dyDescent="0.5">
      <c r="A228" s="51"/>
      <c r="B228" s="51"/>
      <c r="C228" s="51"/>
      <c r="D228" s="51"/>
      <c r="E228" s="51"/>
      <c r="F228" s="51"/>
      <c r="G228" s="51"/>
      <c r="H228" s="51"/>
      <c r="I228" s="51"/>
      <c r="J228" s="51"/>
      <c r="K228" s="51"/>
      <c r="L228" s="51"/>
      <c r="M228" s="51"/>
      <c r="N228" s="51"/>
      <c r="O228" s="51"/>
    </row>
    <row r="229" spans="1:15" ht="12.9" x14ac:dyDescent="0.5">
      <c r="A229" s="51"/>
      <c r="B229" s="51"/>
      <c r="C229" s="51"/>
      <c r="D229" s="51"/>
      <c r="E229" s="51"/>
      <c r="F229" s="51"/>
      <c r="G229" s="51"/>
      <c r="H229" s="51"/>
      <c r="I229" s="51"/>
      <c r="J229" s="51"/>
      <c r="K229" s="51"/>
      <c r="L229" s="51"/>
      <c r="M229" s="51"/>
      <c r="N229" s="51"/>
      <c r="O229" s="51"/>
    </row>
    <row r="230" spans="1:15" ht="12.9" x14ac:dyDescent="0.5">
      <c r="A230" s="51"/>
      <c r="B230" s="51"/>
      <c r="C230" s="51"/>
      <c r="D230" s="51"/>
      <c r="E230" s="51"/>
      <c r="F230" s="51"/>
      <c r="G230" s="51"/>
      <c r="H230" s="51"/>
      <c r="I230" s="51"/>
      <c r="J230" s="51"/>
      <c r="K230" s="51"/>
      <c r="L230" s="51"/>
      <c r="M230" s="51"/>
      <c r="N230" s="51"/>
      <c r="O230" s="51"/>
    </row>
    <row r="231" spans="1:15" ht="12.9" x14ac:dyDescent="0.5">
      <c r="A231" s="51"/>
      <c r="B231" s="51"/>
      <c r="C231" s="51"/>
      <c r="D231" s="51"/>
      <c r="E231" s="51"/>
      <c r="F231" s="51"/>
      <c r="G231" s="51"/>
      <c r="H231" s="51"/>
      <c r="I231" s="51"/>
      <c r="J231" s="51"/>
      <c r="K231" s="51"/>
      <c r="L231" s="51"/>
      <c r="M231" s="51"/>
      <c r="N231" s="51"/>
      <c r="O231" s="51"/>
    </row>
    <row r="232" spans="1:15" ht="12.9" x14ac:dyDescent="0.5">
      <c r="A232" s="51"/>
      <c r="B232" s="51"/>
      <c r="C232" s="51"/>
      <c r="D232" s="51"/>
      <c r="E232" s="51"/>
      <c r="F232" s="51"/>
      <c r="G232" s="51"/>
      <c r="H232" s="51"/>
      <c r="I232" s="51"/>
      <c r="J232" s="51"/>
      <c r="K232" s="51"/>
      <c r="L232" s="51"/>
      <c r="M232" s="51"/>
      <c r="N232" s="51"/>
      <c r="O232" s="51"/>
    </row>
    <row r="233" spans="1:15" ht="12.9" x14ac:dyDescent="0.5">
      <c r="A233" s="51"/>
      <c r="B233" s="51"/>
      <c r="C233" s="51"/>
      <c r="D233" s="51"/>
      <c r="E233" s="51"/>
      <c r="F233" s="51"/>
      <c r="G233" s="51"/>
      <c r="H233" s="51"/>
      <c r="I233" s="51"/>
      <c r="J233" s="51"/>
      <c r="K233" s="51"/>
      <c r="L233" s="51"/>
      <c r="M233" s="51"/>
      <c r="N233" s="51"/>
      <c r="O233" s="51"/>
    </row>
    <row r="234" spans="1:15" ht="12.9" x14ac:dyDescent="0.5">
      <c r="A234" s="51"/>
      <c r="B234" s="51"/>
      <c r="C234" s="51"/>
      <c r="D234" s="51"/>
      <c r="E234" s="51"/>
      <c r="F234" s="51"/>
      <c r="G234" s="51"/>
      <c r="H234" s="51"/>
      <c r="I234" s="51"/>
      <c r="J234" s="51"/>
      <c r="K234" s="51"/>
      <c r="L234" s="51"/>
      <c r="M234" s="51"/>
      <c r="N234" s="51"/>
      <c r="O234" s="51"/>
    </row>
    <row r="235" spans="1:15" ht="12.9" x14ac:dyDescent="0.5">
      <c r="A235" s="51"/>
      <c r="B235" s="51"/>
      <c r="C235" s="51"/>
      <c r="D235" s="51"/>
      <c r="E235" s="51"/>
      <c r="F235" s="51"/>
      <c r="G235" s="51"/>
      <c r="H235" s="51"/>
      <c r="I235" s="51"/>
      <c r="J235" s="51"/>
      <c r="K235" s="51"/>
      <c r="L235" s="51"/>
      <c r="M235" s="51"/>
      <c r="N235" s="51"/>
      <c r="O235" s="51"/>
    </row>
    <row r="236" spans="1:15" ht="12.9" x14ac:dyDescent="0.5">
      <c r="A236" s="51"/>
      <c r="B236" s="51"/>
      <c r="C236" s="51"/>
      <c r="D236" s="51"/>
      <c r="E236" s="51"/>
      <c r="F236" s="51"/>
      <c r="G236" s="51"/>
      <c r="H236" s="51"/>
      <c r="I236" s="51"/>
      <c r="J236" s="51"/>
      <c r="K236" s="51"/>
      <c r="L236" s="51"/>
      <c r="M236" s="51"/>
      <c r="N236" s="51"/>
      <c r="O236" s="51"/>
    </row>
    <row r="237" spans="1:15" ht="12.9" x14ac:dyDescent="0.5">
      <c r="A237" s="51"/>
      <c r="B237" s="51"/>
      <c r="C237" s="51"/>
      <c r="D237" s="51"/>
      <c r="E237" s="51"/>
      <c r="F237" s="51"/>
      <c r="G237" s="51"/>
      <c r="H237" s="51"/>
      <c r="I237" s="51"/>
      <c r="J237" s="51"/>
      <c r="K237" s="51"/>
      <c r="L237" s="51"/>
      <c r="M237" s="51"/>
      <c r="N237" s="51"/>
      <c r="O237" s="51"/>
    </row>
    <row r="238" spans="1:15" ht="12.9" x14ac:dyDescent="0.5">
      <c r="A238" s="51"/>
      <c r="B238" s="51"/>
      <c r="C238" s="51"/>
      <c r="D238" s="51"/>
      <c r="E238" s="51"/>
      <c r="F238" s="51"/>
      <c r="G238" s="51"/>
      <c r="H238" s="51"/>
      <c r="I238" s="51"/>
      <c r="J238" s="51"/>
      <c r="K238" s="51"/>
      <c r="L238" s="51"/>
      <c r="M238" s="51"/>
      <c r="N238" s="51"/>
      <c r="O238" s="51"/>
    </row>
    <row r="239" spans="1:15" ht="12.9" x14ac:dyDescent="0.5">
      <c r="A239" s="51"/>
      <c r="B239" s="51"/>
      <c r="C239" s="51"/>
      <c r="D239" s="51"/>
      <c r="E239" s="51"/>
      <c r="F239" s="51"/>
      <c r="G239" s="51"/>
      <c r="H239" s="51"/>
      <c r="I239" s="51"/>
      <c r="J239" s="51"/>
      <c r="K239" s="51"/>
      <c r="L239" s="51"/>
      <c r="M239" s="51"/>
      <c r="N239" s="51"/>
      <c r="O239" s="51"/>
    </row>
    <row r="240" spans="1:15" ht="12.9" x14ac:dyDescent="0.5">
      <c r="A240" s="51"/>
      <c r="B240" s="51"/>
      <c r="C240" s="51"/>
      <c r="D240" s="51"/>
      <c r="E240" s="51"/>
      <c r="F240" s="51"/>
      <c r="G240" s="51"/>
      <c r="H240" s="51"/>
      <c r="I240" s="51"/>
      <c r="J240" s="51"/>
      <c r="K240" s="51"/>
      <c r="L240" s="51"/>
      <c r="M240" s="51"/>
      <c r="N240" s="51"/>
      <c r="O240" s="51"/>
    </row>
    <row r="241" spans="1:15" ht="12.9" x14ac:dyDescent="0.5">
      <c r="A241" s="51"/>
      <c r="B241" s="51"/>
      <c r="C241" s="51"/>
      <c r="D241" s="51"/>
      <c r="E241" s="51"/>
      <c r="F241" s="51"/>
      <c r="G241" s="51"/>
      <c r="H241" s="51"/>
      <c r="I241" s="51"/>
      <c r="J241" s="51"/>
      <c r="K241" s="51"/>
      <c r="L241" s="51"/>
      <c r="M241" s="51"/>
      <c r="N241" s="51"/>
      <c r="O241" s="51"/>
    </row>
    <row r="242" spans="1:15" ht="12.9" x14ac:dyDescent="0.5">
      <c r="A242" s="51"/>
      <c r="B242" s="51"/>
      <c r="C242" s="51"/>
      <c r="D242" s="51"/>
      <c r="E242" s="51"/>
      <c r="F242" s="51"/>
      <c r="G242" s="51"/>
      <c r="H242" s="51"/>
      <c r="I242" s="51"/>
      <c r="J242" s="51"/>
      <c r="K242" s="51"/>
      <c r="L242" s="51"/>
      <c r="M242" s="51"/>
      <c r="N242" s="51"/>
      <c r="O242" s="51"/>
    </row>
    <row r="243" spans="1:15" ht="12.9" x14ac:dyDescent="0.5">
      <c r="A243" s="51"/>
      <c r="B243" s="51"/>
      <c r="C243" s="51"/>
      <c r="D243" s="51"/>
      <c r="E243" s="51"/>
      <c r="F243" s="51"/>
      <c r="G243" s="51"/>
      <c r="H243" s="51"/>
      <c r="I243" s="51"/>
      <c r="J243" s="51"/>
      <c r="K243" s="51"/>
      <c r="L243" s="51"/>
      <c r="M243" s="51"/>
      <c r="N243" s="51"/>
      <c r="O243" s="51"/>
    </row>
    <row r="244" spans="1:15" ht="12.9" x14ac:dyDescent="0.5">
      <c r="A244" s="51"/>
      <c r="B244" s="51"/>
      <c r="C244" s="51"/>
      <c r="D244" s="51"/>
      <c r="E244" s="51"/>
      <c r="F244" s="51"/>
      <c r="G244" s="51"/>
      <c r="H244" s="51"/>
      <c r="I244" s="51"/>
      <c r="J244" s="51"/>
      <c r="K244" s="51"/>
      <c r="L244" s="51"/>
      <c r="M244" s="51"/>
      <c r="N244" s="51"/>
      <c r="O244" s="51"/>
    </row>
    <row r="245" spans="1:15" ht="12.9" x14ac:dyDescent="0.5">
      <c r="A245" s="51"/>
      <c r="B245" s="51"/>
      <c r="C245" s="51"/>
      <c r="D245" s="51"/>
      <c r="E245" s="51"/>
      <c r="F245" s="51"/>
      <c r="G245" s="51"/>
      <c r="H245" s="51"/>
      <c r="I245" s="51"/>
      <c r="J245" s="51"/>
      <c r="K245" s="51"/>
      <c r="L245" s="51"/>
      <c r="M245" s="51"/>
      <c r="N245" s="51"/>
      <c r="O245" s="51"/>
    </row>
    <row r="246" spans="1:15" ht="12.9" x14ac:dyDescent="0.5">
      <c r="A246" s="51"/>
      <c r="B246" s="51"/>
      <c r="C246" s="51"/>
      <c r="D246" s="51"/>
      <c r="E246" s="51"/>
      <c r="F246" s="51"/>
      <c r="G246" s="51"/>
      <c r="H246" s="51"/>
      <c r="I246" s="51"/>
      <c r="J246" s="51"/>
      <c r="K246" s="51"/>
      <c r="L246" s="51"/>
      <c r="M246" s="51"/>
      <c r="N246" s="51"/>
      <c r="O246" s="51"/>
    </row>
    <row r="247" spans="1:15" ht="12.9" x14ac:dyDescent="0.5">
      <c r="A247" s="51"/>
      <c r="B247" s="51"/>
      <c r="C247" s="51"/>
      <c r="D247" s="51"/>
      <c r="E247" s="51"/>
      <c r="F247" s="51"/>
      <c r="G247" s="51"/>
      <c r="H247" s="51"/>
      <c r="I247" s="51"/>
      <c r="J247" s="51"/>
      <c r="K247" s="51"/>
      <c r="L247" s="51"/>
      <c r="M247" s="51"/>
      <c r="N247" s="51"/>
      <c r="O247" s="51"/>
    </row>
    <row r="248" spans="1:15" ht="12.9" x14ac:dyDescent="0.5">
      <c r="A248" s="51"/>
      <c r="B248" s="51"/>
      <c r="C248" s="51"/>
      <c r="D248" s="51"/>
      <c r="E248" s="51"/>
      <c r="F248" s="51"/>
      <c r="G248" s="51"/>
      <c r="H248" s="51"/>
      <c r="I248" s="51"/>
      <c r="J248" s="51"/>
      <c r="K248" s="51"/>
      <c r="L248" s="51"/>
      <c r="M248" s="51"/>
      <c r="N248" s="51"/>
      <c r="O248" s="51"/>
    </row>
    <row r="249" spans="1:15" ht="12.9" x14ac:dyDescent="0.5">
      <c r="A249" s="51"/>
      <c r="B249" s="51"/>
      <c r="C249" s="51"/>
      <c r="D249" s="51"/>
      <c r="E249" s="51"/>
      <c r="F249" s="51"/>
      <c r="G249" s="51"/>
      <c r="H249" s="51"/>
      <c r="I249" s="51"/>
      <c r="J249" s="51"/>
      <c r="K249" s="51"/>
      <c r="L249" s="51"/>
      <c r="M249" s="51"/>
      <c r="N249" s="51"/>
      <c r="O249" s="51"/>
    </row>
    <row r="250" spans="1:15" ht="12.9" x14ac:dyDescent="0.5">
      <c r="A250" s="51"/>
      <c r="B250" s="51"/>
      <c r="C250" s="51"/>
      <c r="D250" s="51"/>
      <c r="E250" s="51"/>
      <c r="F250" s="51"/>
      <c r="G250" s="51"/>
      <c r="H250" s="51"/>
      <c r="I250" s="51"/>
      <c r="J250" s="51"/>
      <c r="K250" s="51"/>
      <c r="L250" s="51"/>
      <c r="M250" s="51"/>
      <c r="N250" s="51"/>
      <c r="O250" s="51"/>
    </row>
    <row r="251" spans="1:15" ht="12.9" x14ac:dyDescent="0.5">
      <c r="A251" s="51"/>
      <c r="B251" s="51"/>
      <c r="C251" s="51"/>
      <c r="D251" s="51"/>
      <c r="E251" s="51"/>
      <c r="F251" s="51"/>
      <c r="G251" s="51"/>
      <c r="H251" s="51"/>
      <c r="I251" s="51"/>
      <c r="J251" s="51"/>
      <c r="K251" s="51"/>
      <c r="L251" s="51"/>
      <c r="M251" s="51"/>
      <c r="N251" s="51"/>
      <c r="O251" s="51"/>
    </row>
    <row r="252" spans="1:15" ht="12.9" x14ac:dyDescent="0.5">
      <c r="A252" s="51"/>
      <c r="B252" s="51"/>
      <c r="C252" s="51"/>
      <c r="D252" s="51"/>
      <c r="E252" s="51"/>
      <c r="F252" s="51"/>
      <c r="G252" s="51"/>
      <c r="H252" s="51"/>
      <c r="I252" s="51"/>
      <c r="J252" s="51"/>
      <c r="K252" s="51"/>
      <c r="L252" s="51"/>
      <c r="M252" s="51"/>
      <c r="N252" s="51"/>
      <c r="O252" s="51"/>
    </row>
    <row r="253" spans="1:15" ht="12.9" x14ac:dyDescent="0.5">
      <c r="A253" s="51"/>
      <c r="B253" s="51"/>
      <c r="C253" s="51"/>
      <c r="D253" s="51"/>
      <c r="E253" s="51"/>
      <c r="F253" s="51"/>
      <c r="G253" s="51"/>
      <c r="H253" s="51"/>
      <c r="I253" s="51"/>
      <c r="J253" s="51"/>
      <c r="K253" s="51"/>
      <c r="L253" s="51"/>
      <c r="M253" s="51"/>
      <c r="N253" s="51"/>
      <c r="O253" s="51"/>
    </row>
    <row r="254" spans="1:15" ht="12.9" x14ac:dyDescent="0.5">
      <c r="A254" s="51"/>
      <c r="B254" s="51"/>
      <c r="C254" s="51"/>
      <c r="D254" s="51"/>
      <c r="E254" s="51"/>
      <c r="F254" s="51"/>
      <c r="G254" s="51"/>
      <c r="H254" s="51"/>
      <c r="I254" s="51"/>
      <c r="J254" s="51"/>
      <c r="K254" s="51"/>
      <c r="L254" s="51"/>
      <c r="M254" s="51"/>
      <c r="N254" s="51"/>
      <c r="O254" s="51"/>
    </row>
    <row r="255" spans="1:15" ht="12.9" x14ac:dyDescent="0.5">
      <c r="A255" s="51"/>
      <c r="B255" s="51"/>
      <c r="C255" s="51"/>
      <c r="D255" s="51"/>
      <c r="E255" s="51"/>
      <c r="F255" s="51"/>
      <c r="G255" s="51"/>
      <c r="H255" s="51"/>
      <c r="I255" s="51"/>
      <c r="J255" s="51"/>
      <c r="K255" s="51"/>
      <c r="L255" s="51"/>
      <c r="M255" s="51"/>
      <c r="N255" s="51"/>
      <c r="O255" s="51"/>
    </row>
    <row r="256" spans="1:15" ht="12.9" x14ac:dyDescent="0.5">
      <c r="A256" s="51"/>
      <c r="B256" s="51"/>
      <c r="C256" s="51"/>
      <c r="D256" s="51"/>
      <c r="E256" s="51"/>
      <c r="F256" s="51"/>
      <c r="G256" s="51"/>
      <c r="H256" s="51"/>
      <c r="I256" s="51"/>
      <c r="J256" s="51"/>
      <c r="K256" s="51"/>
      <c r="L256" s="51"/>
      <c r="M256" s="51"/>
      <c r="N256" s="51"/>
      <c r="O256" s="51"/>
    </row>
    <row r="257" spans="1:15" ht="12.9" x14ac:dyDescent="0.5">
      <c r="A257" s="51"/>
      <c r="B257" s="51"/>
      <c r="C257" s="51"/>
      <c r="D257" s="51"/>
      <c r="E257" s="51"/>
      <c r="F257" s="51"/>
      <c r="G257" s="51"/>
      <c r="H257" s="51"/>
      <c r="I257" s="51"/>
      <c r="J257" s="51"/>
      <c r="K257" s="51"/>
      <c r="L257" s="51"/>
      <c r="M257" s="51"/>
      <c r="N257" s="51"/>
      <c r="O257" s="51"/>
    </row>
    <row r="258" spans="1:15" ht="12.9" x14ac:dyDescent="0.5">
      <c r="A258" s="51"/>
      <c r="B258" s="51"/>
      <c r="C258" s="51"/>
      <c r="D258" s="51"/>
      <c r="E258" s="51"/>
      <c r="F258" s="51"/>
      <c r="G258" s="51"/>
      <c r="H258" s="51"/>
      <c r="I258" s="51"/>
      <c r="J258" s="51"/>
      <c r="K258" s="51"/>
      <c r="L258" s="51"/>
      <c r="M258" s="51"/>
      <c r="N258" s="51"/>
      <c r="O258" s="51"/>
    </row>
    <row r="259" spans="1:15" ht="12.9" x14ac:dyDescent="0.5">
      <c r="A259" s="51"/>
      <c r="B259" s="51"/>
      <c r="C259" s="51"/>
      <c r="D259" s="51"/>
      <c r="E259" s="51"/>
      <c r="F259" s="51"/>
      <c r="G259" s="51"/>
      <c r="H259" s="51"/>
      <c r="I259" s="51"/>
      <c r="J259" s="51"/>
      <c r="K259" s="51"/>
      <c r="L259" s="51"/>
      <c r="M259" s="51"/>
      <c r="N259" s="51"/>
      <c r="O259" s="51"/>
    </row>
    <row r="260" spans="1:15" ht="12.9" x14ac:dyDescent="0.5">
      <c r="A260" s="51"/>
      <c r="B260" s="51"/>
      <c r="C260" s="51"/>
      <c r="D260" s="51"/>
      <c r="E260" s="51"/>
      <c r="F260" s="51"/>
      <c r="G260" s="51"/>
      <c r="H260" s="51"/>
      <c r="I260" s="51"/>
      <c r="J260" s="51"/>
      <c r="K260" s="51"/>
      <c r="L260" s="51"/>
      <c r="M260" s="51"/>
      <c r="N260" s="51"/>
      <c r="O260" s="51"/>
    </row>
    <row r="261" spans="1:15" ht="12.9" x14ac:dyDescent="0.5">
      <c r="A261" s="51"/>
      <c r="B261" s="51"/>
      <c r="C261" s="51"/>
      <c r="D261" s="51"/>
      <c r="E261" s="51"/>
      <c r="F261" s="51"/>
      <c r="G261" s="51"/>
      <c r="H261" s="51"/>
      <c r="I261" s="51"/>
      <c r="J261" s="51"/>
      <c r="K261" s="51"/>
      <c r="L261" s="51"/>
      <c r="M261" s="51"/>
      <c r="N261" s="51"/>
      <c r="O261" s="51"/>
    </row>
    <row r="262" spans="1:15" ht="12.9" x14ac:dyDescent="0.5">
      <c r="A262" s="51"/>
      <c r="B262" s="51"/>
      <c r="C262" s="51"/>
      <c r="D262" s="51"/>
      <c r="E262" s="51"/>
      <c r="F262" s="51"/>
      <c r="G262" s="51"/>
      <c r="H262" s="51"/>
      <c r="I262" s="51"/>
      <c r="J262" s="51"/>
      <c r="K262" s="51"/>
      <c r="L262" s="51"/>
      <c r="M262" s="51"/>
      <c r="N262" s="51"/>
      <c r="O262" s="51"/>
    </row>
    <row r="263" spans="1:15" ht="12.9" x14ac:dyDescent="0.5">
      <c r="A263" s="51"/>
      <c r="B263" s="51"/>
      <c r="C263" s="51"/>
      <c r="D263" s="51"/>
      <c r="E263" s="51"/>
      <c r="F263" s="51"/>
      <c r="G263" s="51"/>
      <c r="H263" s="51"/>
      <c r="I263" s="51"/>
      <c r="J263" s="51"/>
      <c r="K263" s="51"/>
      <c r="L263" s="51"/>
      <c r="M263" s="51"/>
      <c r="N263" s="51"/>
      <c r="O263" s="51"/>
    </row>
    <row r="264" spans="1:15" ht="12.9" x14ac:dyDescent="0.5">
      <c r="A264" s="51"/>
      <c r="B264" s="51"/>
      <c r="C264" s="51"/>
      <c r="D264" s="51"/>
      <c r="E264" s="51"/>
      <c r="F264" s="51"/>
      <c r="G264" s="51"/>
      <c r="H264" s="51"/>
      <c r="I264" s="51"/>
      <c r="J264" s="51"/>
      <c r="K264" s="51"/>
      <c r="L264" s="51"/>
      <c r="M264" s="51"/>
      <c r="N264" s="51"/>
      <c r="O264" s="51"/>
    </row>
    <row r="265" spans="1:15" ht="12.9" x14ac:dyDescent="0.5">
      <c r="A265" s="51"/>
      <c r="B265" s="51"/>
      <c r="C265" s="51"/>
      <c r="D265" s="51"/>
      <c r="E265" s="51"/>
      <c r="F265" s="51"/>
      <c r="G265" s="51"/>
      <c r="H265" s="51"/>
      <c r="I265" s="51"/>
      <c r="J265" s="51"/>
      <c r="K265" s="51"/>
      <c r="L265" s="51"/>
      <c r="M265" s="51"/>
      <c r="N265" s="51"/>
      <c r="O265" s="51"/>
    </row>
    <row r="266" spans="1:15" ht="12.9" x14ac:dyDescent="0.5">
      <c r="A266" s="51"/>
      <c r="B266" s="51"/>
      <c r="C266" s="51"/>
      <c r="D266" s="51"/>
      <c r="E266" s="51"/>
      <c r="F266" s="51"/>
      <c r="G266" s="51"/>
      <c r="H266" s="51"/>
      <c r="I266" s="51"/>
      <c r="J266" s="51"/>
      <c r="K266" s="51"/>
      <c r="L266" s="51"/>
      <c r="M266" s="51"/>
      <c r="N266" s="51"/>
      <c r="O266" s="51"/>
    </row>
    <row r="267" spans="1:15" ht="12.9" x14ac:dyDescent="0.5">
      <c r="A267" s="51"/>
      <c r="B267" s="51"/>
      <c r="C267" s="51"/>
      <c r="D267" s="51"/>
      <c r="E267" s="51"/>
      <c r="F267" s="51"/>
      <c r="G267" s="51"/>
      <c r="H267" s="51"/>
      <c r="I267" s="51"/>
      <c r="J267" s="51"/>
      <c r="K267" s="51"/>
      <c r="L267" s="51"/>
      <c r="M267" s="51"/>
      <c r="N267" s="51"/>
      <c r="O267" s="51"/>
    </row>
    <row r="268" spans="1:15" ht="12.9" x14ac:dyDescent="0.5">
      <c r="A268" s="51"/>
      <c r="B268" s="51"/>
      <c r="C268" s="51"/>
      <c r="D268" s="51"/>
      <c r="E268" s="51"/>
      <c r="F268" s="51"/>
      <c r="G268" s="51"/>
      <c r="H268" s="51"/>
      <c r="I268" s="51"/>
      <c r="J268" s="51"/>
      <c r="K268" s="51"/>
      <c r="L268" s="51"/>
      <c r="M268" s="51"/>
      <c r="N268" s="51"/>
      <c r="O268" s="51"/>
    </row>
    <row r="269" spans="1:15" ht="12.9" x14ac:dyDescent="0.5">
      <c r="A269" s="51"/>
      <c r="B269" s="51"/>
      <c r="C269" s="51"/>
      <c r="D269" s="51"/>
      <c r="E269" s="51"/>
      <c r="F269" s="51"/>
      <c r="G269" s="51"/>
      <c r="H269" s="51"/>
      <c r="I269" s="51"/>
      <c r="J269" s="51"/>
      <c r="K269" s="51"/>
      <c r="L269" s="51"/>
      <c r="M269" s="51"/>
      <c r="N269" s="51"/>
      <c r="O269" s="51"/>
    </row>
    <row r="270" spans="1:15" ht="12.9" x14ac:dyDescent="0.5">
      <c r="A270" s="51"/>
      <c r="B270" s="51"/>
      <c r="C270" s="51"/>
      <c r="D270" s="51"/>
      <c r="E270" s="51"/>
      <c r="F270" s="51"/>
      <c r="G270" s="51"/>
      <c r="H270" s="51"/>
      <c r="I270" s="51"/>
      <c r="J270" s="51"/>
      <c r="K270" s="51"/>
      <c r="L270" s="51"/>
      <c r="M270" s="51"/>
      <c r="N270" s="51"/>
      <c r="O270" s="51"/>
    </row>
    <row r="271" spans="1:15" ht="12.9" x14ac:dyDescent="0.5">
      <c r="A271" s="51"/>
      <c r="B271" s="51"/>
      <c r="C271" s="51"/>
      <c r="D271" s="51"/>
      <c r="E271" s="51"/>
      <c r="F271" s="51"/>
      <c r="G271" s="51"/>
      <c r="H271" s="51"/>
      <c r="I271" s="51"/>
      <c r="J271" s="51"/>
      <c r="K271" s="51"/>
      <c r="L271" s="51"/>
      <c r="M271" s="51"/>
      <c r="N271" s="51"/>
      <c r="O271" s="51"/>
    </row>
    <row r="272" spans="1:15" ht="12.9" x14ac:dyDescent="0.5">
      <c r="A272" s="51"/>
      <c r="B272" s="51"/>
      <c r="C272" s="51"/>
      <c r="D272" s="51"/>
      <c r="E272" s="51"/>
      <c r="F272" s="51"/>
      <c r="G272" s="51"/>
      <c r="H272" s="51"/>
      <c r="I272" s="51"/>
      <c r="J272" s="51"/>
      <c r="K272" s="51"/>
      <c r="L272" s="51"/>
      <c r="M272" s="51"/>
      <c r="N272" s="51"/>
      <c r="O272" s="51"/>
    </row>
    <row r="273" spans="1:15" ht="12.9" x14ac:dyDescent="0.5">
      <c r="A273" s="51"/>
      <c r="B273" s="51"/>
      <c r="C273" s="51"/>
      <c r="D273" s="51"/>
      <c r="E273" s="51"/>
      <c r="F273" s="51"/>
      <c r="G273" s="51"/>
      <c r="H273" s="51"/>
      <c r="I273" s="51"/>
      <c r="J273" s="51"/>
      <c r="K273" s="51"/>
      <c r="L273" s="51"/>
      <c r="M273" s="51"/>
      <c r="N273" s="51"/>
      <c r="O273" s="51"/>
    </row>
    <row r="274" spans="1:15" ht="12.9" x14ac:dyDescent="0.5">
      <c r="A274" s="51"/>
      <c r="B274" s="51"/>
      <c r="C274" s="51"/>
      <c r="D274" s="51"/>
      <c r="E274" s="51"/>
      <c r="F274" s="51"/>
      <c r="G274" s="51"/>
      <c r="H274" s="51"/>
      <c r="I274" s="51"/>
      <c r="J274" s="51"/>
      <c r="K274" s="51"/>
      <c r="L274" s="51"/>
      <c r="M274" s="51"/>
      <c r="N274" s="51"/>
      <c r="O274" s="51"/>
    </row>
    <row r="275" spans="1:15" ht="12.9" x14ac:dyDescent="0.5">
      <c r="A275" s="51"/>
      <c r="B275" s="51"/>
      <c r="C275" s="51"/>
      <c r="D275" s="51"/>
      <c r="E275" s="51"/>
      <c r="F275" s="51"/>
      <c r="G275" s="51"/>
      <c r="H275" s="51"/>
      <c r="I275" s="51"/>
      <c r="J275" s="51"/>
      <c r="K275" s="51"/>
      <c r="L275" s="51"/>
      <c r="M275" s="51"/>
      <c r="N275" s="51"/>
      <c r="O275" s="51"/>
    </row>
    <row r="276" spans="1:15" ht="12.9" x14ac:dyDescent="0.5">
      <c r="A276" s="51"/>
      <c r="B276" s="51"/>
      <c r="C276" s="51"/>
      <c r="D276" s="51"/>
      <c r="E276" s="51"/>
      <c r="F276" s="51"/>
      <c r="G276" s="51"/>
      <c r="H276" s="51"/>
      <c r="I276" s="51"/>
      <c r="J276" s="51"/>
      <c r="K276" s="51"/>
      <c r="L276" s="51"/>
      <c r="M276" s="51"/>
      <c r="N276" s="51"/>
      <c r="O276" s="51"/>
    </row>
    <row r="277" spans="1:15" ht="12.9" x14ac:dyDescent="0.5">
      <c r="A277" s="51"/>
      <c r="B277" s="51"/>
      <c r="C277" s="51"/>
      <c r="D277" s="51"/>
      <c r="E277" s="51"/>
      <c r="F277" s="51"/>
      <c r="G277" s="51"/>
      <c r="H277" s="51"/>
      <c r="I277" s="51"/>
      <c r="J277" s="51"/>
      <c r="K277" s="51"/>
      <c r="L277" s="51"/>
      <c r="M277" s="51"/>
      <c r="N277" s="51"/>
      <c r="O277" s="51"/>
    </row>
    <row r="278" spans="1:15" ht="12.9" x14ac:dyDescent="0.5">
      <c r="A278" s="51"/>
      <c r="B278" s="51"/>
      <c r="C278" s="51"/>
      <c r="D278" s="51"/>
      <c r="E278" s="51"/>
      <c r="F278" s="51"/>
      <c r="G278" s="51"/>
      <c r="H278" s="51"/>
      <c r="I278" s="51"/>
      <c r="J278" s="51"/>
      <c r="K278" s="51"/>
      <c r="L278" s="51"/>
      <c r="M278" s="51"/>
      <c r="N278" s="51"/>
      <c r="O278" s="51"/>
    </row>
    <row r="279" spans="1:15" ht="12.9" x14ac:dyDescent="0.5">
      <c r="A279" s="51"/>
      <c r="B279" s="51"/>
      <c r="C279" s="51"/>
      <c r="D279" s="51"/>
      <c r="E279" s="51"/>
      <c r="F279" s="51"/>
      <c r="G279" s="51"/>
      <c r="H279" s="51"/>
      <c r="I279" s="51"/>
      <c r="J279" s="51"/>
      <c r="K279" s="51"/>
      <c r="L279" s="51"/>
      <c r="M279" s="51"/>
      <c r="N279" s="51"/>
      <c r="O279" s="51"/>
    </row>
    <row r="280" spans="1:15" ht="12.9" x14ac:dyDescent="0.5">
      <c r="A280" s="51"/>
      <c r="B280" s="51"/>
      <c r="C280" s="51"/>
      <c r="D280" s="51"/>
      <c r="E280" s="51"/>
      <c r="F280" s="51"/>
      <c r="G280" s="51"/>
      <c r="H280" s="51"/>
      <c r="I280" s="51"/>
      <c r="J280" s="51"/>
      <c r="K280" s="51"/>
      <c r="L280" s="51"/>
      <c r="M280" s="51"/>
      <c r="N280" s="51"/>
      <c r="O280" s="51"/>
    </row>
    <row r="281" spans="1:15" ht="12.9" x14ac:dyDescent="0.5">
      <c r="A281" s="51"/>
      <c r="B281" s="51"/>
      <c r="C281" s="51"/>
      <c r="D281" s="51"/>
      <c r="E281" s="51"/>
      <c r="F281" s="51"/>
      <c r="G281" s="51"/>
      <c r="H281" s="51"/>
      <c r="I281" s="51"/>
      <c r="J281" s="51"/>
      <c r="K281" s="51"/>
      <c r="L281" s="51"/>
      <c r="M281" s="51"/>
      <c r="N281" s="51"/>
      <c r="O281" s="51"/>
    </row>
    <row r="282" spans="1:15" ht="12.9" x14ac:dyDescent="0.5">
      <c r="A282" s="51"/>
      <c r="B282" s="51"/>
      <c r="C282" s="51"/>
      <c r="D282" s="51"/>
      <c r="E282" s="51"/>
      <c r="F282" s="51"/>
      <c r="G282" s="51"/>
      <c r="H282" s="51"/>
      <c r="I282" s="51"/>
      <c r="J282" s="51"/>
      <c r="K282" s="51"/>
      <c r="L282" s="51"/>
      <c r="M282" s="51"/>
      <c r="N282" s="51"/>
      <c r="O282" s="51"/>
    </row>
    <row r="283" spans="1:15" ht="12.9" x14ac:dyDescent="0.5">
      <c r="A283" s="51"/>
      <c r="B283" s="51"/>
      <c r="C283" s="51"/>
      <c r="D283" s="51"/>
      <c r="E283" s="51"/>
      <c r="F283" s="51"/>
      <c r="G283" s="51"/>
      <c r="H283" s="51"/>
      <c r="I283" s="51"/>
      <c r="J283" s="51"/>
      <c r="K283" s="51"/>
      <c r="L283" s="51"/>
      <c r="M283" s="51"/>
      <c r="N283" s="51"/>
      <c r="O283" s="51"/>
    </row>
    <row r="284" spans="1:15" ht="12.9" x14ac:dyDescent="0.5">
      <c r="A284" s="51"/>
      <c r="B284" s="51"/>
      <c r="C284" s="51"/>
      <c r="D284" s="51"/>
      <c r="E284" s="51"/>
      <c r="F284" s="51"/>
      <c r="G284" s="51"/>
      <c r="H284" s="51"/>
      <c r="I284" s="51"/>
      <c r="J284" s="51"/>
      <c r="K284" s="51"/>
      <c r="L284" s="51"/>
      <c r="M284" s="51"/>
      <c r="N284" s="51"/>
      <c r="O284" s="51"/>
    </row>
    <row r="285" spans="1:15" ht="12.9" x14ac:dyDescent="0.5">
      <c r="A285" s="51"/>
      <c r="B285" s="51"/>
      <c r="C285" s="51"/>
      <c r="D285" s="51"/>
      <c r="E285" s="51"/>
      <c r="F285" s="51"/>
      <c r="G285" s="51"/>
      <c r="H285" s="51"/>
      <c r="I285" s="51"/>
      <c r="J285" s="51"/>
      <c r="K285" s="51"/>
      <c r="L285" s="51"/>
      <c r="M285" s="51"/>
      <c r="N285" s="51"/>
      <c r="O285" s="51"/>
    </row>
    <row r="286" spans="1:15" ht="12.9" x14ac:dyDescent="0.5">
      <c r="A286" s="51"/>
      <c r="B286" s="51"/>
      <c r="C286" s="51"/>
      <c r="D286" s="51"/>
      <c r="E286" s="51"/>
      <c r="F286" s="51"/>
      <c r="G286" s="51"/>
      <c r="H286" s="51"/>
      <c r="I286" s="51"/>
      <c r="J286" s="51"/>
      <c r="K286" s="51"/>
      <c r="L286" s="51"/>
      <c r="M286" s="51"/>
      <c r="N286" s="51"/>
      <c r="O286" s="51"/>
    </row>
    <row r="287" spans="1:15" ht="12.9" x14ac:dyDescent="0.5">
      <c r="A287" s="51"/>
      <c r="B287" s="51"/>
      <c r="C287" s="51"/>
      <c r="D287" s="51"/>
      <c r="E287" s="51"/>
      <c r="F287" s="51"/>
      <c r="G287" s="51"/>
      <c r="H287" s="51"/>
      <c r="I287" s="51"/>
      <c r="J287" s="51"/>
      <c r="K287" s="51"/>
      <c r="L287" s="51"/>
      <c r="M287" s="51"/>
      <c r="N287" s="51"/>
      <c r="O287" s="51"/>
    </row>
    <row r="288" spans="1:15" ht="12.9" x14ac:dyDescent="0.5">
      <c r="A288" s="51"/>
      <c r="B288" s="51"/>
      <c r="C288" s="51"/>
      <c r="D288" s="51"/>
      <c r="E288" s="51"/>
      <c r="F288" s="51"/>
      <c r="G288" s="51"/>
      <c r="H288" s="51"/>
      <c r="I288" s="51"/>
      <c r="J288" s="51"/>
      <c r="K288" s="51"/>
      <c r="L288" s="51"/>
      <c r="M288" s="51"/>
      <c r="N288" s="51"/>
      <c r="O288" s="51"/>
    </row>
    <row r="289" spans="1:15" ht="12.9" x14ac:dyDescent="0.5">
      <c r="A289" s="51"/>
      <c r="B289" s="51"/>
      <c r="C289" s="51"/>
      <c r="D289" s="51"/>
      <c r="E289" s="51"/>
      <c r="F289" s="51"/>
      <c r="G289" s="51"/>
      <c r="H289" s="51"/>
      <c r="I289" s="51"/>
      <c r="J289" s="51"/>
      <c r="K289" s="51"/>
      <c r="L289" s="51"/>
      <c r="M289" s="51"/>
      <c r="N289" s="51"/>
      <c r="O289" s="51"/>
    </row>
    <row r="290" spans="1:15" ht="12.9" x14ac:dyDescent="0.5">
      <c r="A290" s="51"/>
      <c r="B290" s="51"/>
      <c r="C290" s="51"/>
      <c r="D290" s="51"/>
      <c r="E290" s="51"/>
      <c r="F290" s="51"/>
      <c r="G290" s="51"/>
      <c r="H290" s="51"/>
      <c r="I290" s="51"/>
      <c r="J290" s="51"/>
      <c r="K290" s="51"/>
      <c r="L290" s="51"/>
      <c r="M290" s="51"/>
      <c r="N290" s="51"/>
      <c r="O290" s="51"/>
    </row>
    <row r="291" spans="1:15" ht="12.9" x14ac:dyDescent="0.5">
      <c r="A291" s="51"/>
      <c r="B291" s="51"/>
      <c r="C291" s="51"/>
      <c r="D291" s="51"/>
      <c r="E291" s="51"/>
      <c r="F291" s="51"/>
      <c r="G291" s="51"/>
      <c r="H291" s="51"/>
      <c r="I291" s="51"/>
      <c r="J291" s="51"/>
      <c r="K291" s="51"/>
      <c r="L291" s="51"/>
      <c r="M291" s="51"/>
      <c r="N291" s="51"/>
      <c r="O291" s="51"/>
    </row>
    <row r="292" spans="1:15" ht="12.9" x14ac:dyDescent="0.5">
      <c r="A292" s="51"/>
      <c r="B292" s="51"/>
      <c r="C292" s="51"/>
      <c r="D292" s="51"/>
      <c r="E292" s="51"/>
      <c r="F292" s="51"/>
      <c r="G292" s="51"/>
      <c r="H292" s="51"/>
      <c r="I292" s="51"/>
      <c r="J292" s="51"/>
      <c r="K292" s="51"/>
      <c r="L292" s="51"/>
      <c r="M292" s="51"/>
      <c r="N292" s="51"/>
      <c r="O292" s="51"/>
    </row>
    <row r="293" spans="1:15" ht="12.9" x14ac:dyDescent="0.5">
      <c r="A293" s="51"/>
      <c r="B293" s="51"/>
      <c r="C293" s="51"/>
      <c r="D293" s="51"/>
      <c r="E293" s="51"/>
      <c r="F293" s="51"/>
      <c r="G293" s="51"/>
      <c r="H293" s="51"/>
      <c r="I293" s="51"/>
      <c r="J293" s="51"/>
      <c r="K293" s="51"/>
      <c r="L293" s="51"/>
      <c r="M293" s="51"/>
      <c r="N293" s="51"/>
      <c r="O293" s="51"/>
    </row>
    <row r="294" spans="1:15" ht="12.9" x14ac:dyDescent="0.5">
      <c r="A294" s="51"/>
      <c r="B294" s="51"/>
      <c r="C294" s="51"/>
      <c r="D294" s="51"/>
      <c r="E294" s="51"/>
      <c r="F294" s="51"/>
      <c r="G294" s="51"/>
      <c r="H294" s="51"/>
      <c r="I294" s="51"/>
      <c r="J294" s="51"/>
      <c r="K294" s="51"/>
      <c r="L294" s="51"/>
      <c r="M294" s="51"/>
      <c r="N294" s="51"/>
      <c r="O294" s="51"/>
    </row>
    <row r="295" spans="1:15" ht="12.9" x14ac:dyDescent="0.5">
      <c r="A295" s="51"/>
      <c r="B295" s="51"/>
      <c r="C295" s="51"/>
      <c r="D295" s="51"/>
      <c r="E295" s="51"/>
      <c r="F295" s="51"/>
      <c r="G295" s="51"/>
      <c r="H295" s="51"/>
      <c r="I295" s="51"/>
      <c r="J295" s="51"/>
      <c r="K295" s="51"/>
      <c r="L295" s="51"/>
      <c r="M295" s="51"/>
      <c r="N295" s="51"/>
      <c r="O295" s="51"/>
    </row>
    <row r="296" spans="1:15" ht="12.9" x14ac:dyDescent="0.5">
      <c r="A296" s="51"/>
      <c r="B296" s="51"/>
      <c r="C296" s="51"/>
      <c r="D296" s="51"/>
      <c r="E296" s="51"/>
      <c r="F296" s="51"/>
      <c r="G296" s="51"/>
      <c r="H296" s="51"/>
      <c r="I296" s="51"/>
      <c r="J296" s="51"/>
      <c r="K296" s="51"/>
      <c r="L296" s="51"/>
      <c r="M296" s="51"/>
      <c r="N296" s="51"/>
      <c r="O296" s="51"/>
    </row>
    <row r="297" spans="1:15" ht="12.9" x14ac:dyDescent="0.5">
      <c r="A297" s="51"/>
      <c r="B297" s="51"/>
      <c r="C297" s="51"/>
      <c r="D297" s="51"/>
      <c r="E297" s="51"/>
      <c r="F297" s="51"/>
      <c r="G297" s="51"/>
      <c r="H297" s="51"/>
      <c r="I297" s="51"/>
      <c r="J297" s="51"/>
      <c r="K297" s="51"/>
      <c r="L297" s="51"/>
      <c r="M297" s="51"/>
      <c r="N297" s="51"/>
      <c r="O297" s="51"/>
    </row>
    <row r="298" spans="1:15" ht="12.9" x14ac:dyDescent="0.5">
      <c r="A298" s="51"/>
      <c r="B298" s="51"/>
      <c r="C298" s="51"/>
      <c r="D298" s="51"/>
      <c r="E298" s="51"/>
      <c r="F298" s="51"/>
      <c r="G298" s="51"/>
      <c r="H298" s="51"/>
      <c r="I298" s="51"/>
      <c r="J298" s="51"/>
      <c r="K298" s="51"/>
      <c r="L298" s="51"/>
      <c r="M298" s="51"/>
      <c r="N298" s="51"/>
      <c r="O298" s="51"/>
    </row>
    <row r="299" spans="1:15" ht="12.9" x14ac:dyDescent="0.5">
      <c r="A299" s="51"/>
      <c r="B299" s="51"/>
      <c r="C299" s="51"/>
      <c r="D299" s="51"/>
      <c r="E299" s="51"/>
      <c r="F299" s="51"/>
      <c r="G299" s="51"/>
      <c r="H299" s="51"/>
      <c r="I299" s="51"/>
      <c r="J299" s="51"/>
      <c r="K299" s="51"/>
      <c r="L299" s="51"/>
      <c r="M299" s="51"/>
      <c r="N299" s="51"/>
      <c r="O299" s="51"/>
    </row>
    <row r="300" spans="1:15" ht="12.9" x14ac:dyDescent="0.5">
      <c r="A300" s="51"/>
      <c r="B300" s="51"/>
      <c r="C300" s="51"/>
      <c r="D300" s="51"/>
      <c r="E300" s="51"/>
      <c r="F300" s="51"/>
      <c r="G300" s="51"/>
      <c r="H300" s="51"/>
      <c r="I300" s="51"/>
      <c r="J300" s="51"/>
      <c r="K300" s="51"/>
      <c r="L300" s="51"/>
      <c r="M300" s="51"/>
      <c r="N300" s="51"/>
      <c r="O300" s="51"/>
    </row>
    <row r="301" spans="1:15" ht="12.9" x14ac:dyDescent="0.5">
      <c r="A301" s="51"/>
      <c r="B301" s="51"/>
      <c r="C301" s="51"/>
      <c r="D301" s="51"/>
      <c r="E301" s="51"/>
      <c r="F301" s="51"/>
      <c r="G301" s="51"/>
      <c r="H301" s="51"/>
      <c r="I301" s="51"/>
      <c r="J301" s="51"/>
      <c r="K301" s="51"/>
      <c r="L301" s="51"/>
      <c r="M301" s="51"/>
      <c r="N301" s="51"/>
      <c r="O301" s="51"/>
    </row>
    <row r="302" spans="1:15" ht="12.9" x14ac:dyDescent="0.5">
      <c r="A302" s="51"/>
      <c r="B302" s="51"/>
      <c r="C302" s="51"/>
      <c r="D302" s="51"/>
      <c r="E302" s="51"/>
      <c r="F302" s="51"/>
      <c r="G302" s="51"/>
      <c r="H302" s="51"/>
      <c r="I302" s="51"/>
      <c r="J302" s="51"/>
      <c r="K302" s="51"/>
      <c r="L302" s="51"/>
      <c r="M302" s="51"/>
      <c r="N302" s="51"/>
      <c r="O302" s="51"/>
    </row>
    <row r="303" spans="1:15" ht="12.9" x14ac:dyDescent="0.5">
      <c r="A303" s="51"/>
      <c r="B303" s="51"/>
      <c r="C303" s="51"/>
      <c r="D303" s="51"/>
      <c r="E303" s="51"/>
      <c r="F303" s="51"/>
      <c r="G303" s="51"/>
      <c r="H303" s="51"/>
      <c r="I303" s="51"/>
      <c r="J303" s="51"/>
      <c r="K303" s="51"/>
      <c r="L303" s="51"/>
      <c r="M303" s="51"/>
      <c r="N303" s="51"/>
      <c r="O303" s="51"/>
    </row>
    <row r="304" spans="1:15" ht="12.9" x14ac:dyDescent="0.5">
      <c r="A304" s="51"/>
      <c r="B304" s="51"/>
      <c r="C304" s="51"/>
      <c r="D304" s="51"/>
      <c r="E304" s="51"/>
      <c r="F304" s="51"/>
      <c r="G304" s="51"/>
      <c r="H304" s="51"/>
      <c r="I304" s="51"/>
      <c r="J304" s="51"/>
      <c r="K304" s="51"/>
      <c r="L304" s="51"/>
      <c r="M304" s="51"/>
      <c r="N304" s="51"/>
      <c r="O304" s="51"/>
    </row>
    <row r="305" spans="1:15" ht="12.9" x14ac:dyDescent="0.5">
      <c r="A305" s="51"/>
      <c r="B305" s="51"/>
      <c r="C305" s="51"/>
      <c r="D305" s="51"/>
      <c r="E305" s="51"/>
      <c r="F305" s="51"/>
      <c r="G305" s="51"/>
      <c r="H305" s="51"/>
      <c r="I305" s="51"/>
      <c r="J305" s="51"/>
      <c r="K305" s="51"/>
      <c r="L305" s="51"/>
      <c r="M305" s="51"/>
      <c r="N305" s="51"/>
      <c r="O305" s="51"/>
    </row>
    <row r="306" spans="1:15" ht="12.9" x14ac:dyDescent="0.5">
      <c r="A306" s="51"/>
      <c r="B306" s="51"/>
      <c r="C306" s="51"/>
      <c r="D306" s="51"/>
      <c r="E306" s="51"/>
      <c r="F306" s="51"/>
      <c r="G306" s="51"/>
      <c r="H306" s="51"/>
      <c r="I306" s="51"/>
      <c r="J306" s="51"/>
      <c r="K306" s="51"/>
      <c r="L306" s="51"/>
      <c r="M306" s="51"/>
      <c r="N306" s="51"/>
      <c r="O306" s="51"/>
    </row>
    <row r="307" spans="1:15" ht="12.9" x14ac:dyDescent="0.5">
      <c r="A307" s="51"/>
      <c r="B307" s="51"/>
      <c r="C307" s="51"/>
      <c r="D307" s="51"/>
      <c r="E307" s="51"/>
      <c r="F307" s="51"/>
      <c r="G307" s="51"/>
      <c r="H307" s="51"/>
      <c r="I307" s="51"/>
      <c r="J307" s="51"/>
      <c r="K307" s="51"/>
      <c r="L307" s="51"/>
      <c r="M307" s="51"/>
      <c r="N307" s="51"/>
      <c r="O307" s="51"/>
    </row>
    <row r="308" spans="1:15" ht="12.9" x14ac:dyDescent="0.5">
      <c r="A308" s="51"/>
      <c r="B308" s="51"/>
      <c r="C308" s="51"/>
      <c r="D308" s="51"/>
      <c r="E308" s="51"/>
      <c r="F308" s="51"/>
      <c r="G308" s="51"/>
      <c r="H308" s="51"/>
      <c r="I308" s="51"/>
      <c r="J308" s="51"/>
      <c r="K308" s="51"/>
      <c r="L308" s="51"/>
      <c r="M308" s="51"/>
      <c r="N308" s="51"/>
      <c r="O308" s="51"/>
    </row>
    <row r="309" spans="1:15" ht="12.9" x14ac:dyDescent="0.5">
      <c r="A309" s="51"/>
      <c r="B309" s="51"/>
      <c r="C309" s="51"/>
      <c r="D309" s="51"/>
      <c r="E309" s="51"/>
      <c r="F309" s="51"/>
      <c r="G309" s="51"/>
      <c r="H309" s="51"/>
      <c r="I309" s="51"/>
      <c r="J309" s="51"/>
      <c r="K309" s="51"/>
      <c r="L309" s="51"/>
      <c r="M309" s="51"/>
      <c r="N309" s="51"/>
      <c r="O309" s="51"/>
    </row>
    <row r="310" spans="1:15" ht="12.9" x14ac:dyDescent="0.5">
      <c r="A310" s="51"/>
      <c r="B310" s="51"/>
      <c r="C310" s="51"/>
      <c r="D310" s="51"/>
      <c r="E310" s="51"/>
      <c r="F310" s="51"/>
      <c r="G310" s="51"/>
      <c r="H310" s="51"/>
      <c r="I310" s="51"/>
      <c r="J310" s="51"/>
      <c r="K310" s="51"/>
      <c r="L310" s="51"/>
      <c r="M310" s="51"/>
      <c r="N310" s="51"/>
      <c r="O310" s="51"/>
    </row>
    <row r="311" spans="1:15" ht="12.9" x14ac:dyDescent="0.5">
      <c r="A311" s="51"/>
      <c r="B311" s="51"/>
      <c r="C311" s="51"/>
      <c r="D311" s="51"/>
      <c r="E311" s="51"/>
      <c r="F311" s="51"/>
      <c r="G311" s="51"/>
      <c r="H311" s="51"/>
      <c r="I311" s="51"/>
      <c r="J311" s="51"/>
      <c r="K311" s="51"/>
      <c r="L311" s="51"/>
      <c r="M311" s="51"/>
      <c r="N311" s="51"/>
      <c r="O311" s="51"/>
    </row>
    <row r="312" spans="1:15" ht="12.9" x14ac:dyDescent="0.5">
      <c r="A312" s="51"/>
      <c r="B312" s="51"/>
      <c r="C312" s="51"/>
      <c r="D312" s="51"/>
      <c r="E312" s="51"/>
      <c r="F312" s="51"/>
      <c r="G312" s="51"/>
      <c r="H312" s="51"/>
      <c r="I312" s="51"/>
      <c r="J312" s="51"/>
      <c r="K312" s="51"/>
      <c r="L312" s="51"/>
      <c r="M312" s="51"/>
      <c r="N312" s="51"/>
      <c r="O312" s="51"/>
    </row>
    <row r="313" spans="1:15" ht="12.9" x14ac:dyDescent="0.5">
      <c r="A313" s="51"/>
      <c r="B313" s="51"/>
      <c r="C313" s="51"/>
      <c r="D313" s="51"/>
      <c r="E313" s="51"/>
      <c r="F313" s="51"/>
      <c r="G313" s="51"/>
      <c r="H313" s="51"/>
      <c r="I313" s="51"/>
      <c r="J313" s="51"/>
      <c r="K313" s="51"/>
      <c r="L313" s="51"/>
      <c r="M313" s="51"/>
      <c r="N313" s="51"/>
      <c r="O313" s="51"/>
    </row>
    <row r="314" spans="1:15" ht="12.9" x14ac:dyDescent="0.5">
      <c r="A314" s="51"/>
      <c r="B314" s="51"/>
      <c r="C314" s="51"/>
      <c r="D314" s="51"/>
      <c r="E314" s="51"/>
      <c r="F314" s="51"/>
      <c r="G314" s="51"/>
      <c r="H314" s="51"/>
      <c r="I314" s="51"/>
      <c r="J314" s="51"/>
      <c r="K314" s="51"/>
      <c r="L314" s="51"/>
      <c r="M314" s="51"/>
      <c r="N314" s="51"/>
      <c r="O314" s="51"/>
    </row>
    <row r="315" spans="1:15" ht="12.9" x14ac:dyDescent="0.5">
      <c r="A315" s="51"/>
      <c r="B315" s="51"/>
      <c r="C315" s="51"/>
      <c r="D315" s="51"/>
      <c r="E315" s="51"/>
      <c r="F315" s="51"/>
      <c r="G315" s="51"/>
      <c r="H315" s="51"/>
      <c r="I315" s="51"/>
      <c r="J315" s="51"/>
      <c r="K315" s="51"/>
      <c r="L315" s="51"/>
      <c r="M315" s="51"/>
      <c r="N315" s="51"/>
      <c r="O315" s="51"/>
    </row>
    <row r="316" spans="1:15" ht="12.9" x14ac:dyDescent="0.5">
      <c r="A316" s="51"/>
      <c r="B316" s="51"/>
      <c r="C316" s="51"/>
      <c r="D316" s="51"/>
      <c r="E316" s="51"/>
      <c r="F316" s="51"/>
      <c r="G316" s="51"/>
      <c r="H316" s="51"/>
      <c r="I316" s="51"/>
      <c r="J316" s="51"/>
      <c r="K316" s="51"/>
      <c r="L316" s="51"/>
      <c r="M316" s="51"/>
      <c r="N316" s="51"/>
      <c r="O316" s="51"/>
    </row>
    <row r="317" spans="1:15" ht="12.9" x14ac:dyDescent="0.5">
      <c r="A317" s="51"/>
      <c r="B317" s="51"/>
      <c r="C317" s="51"/>
      <c r="D317" s="51"/>
      <c r="E317" s="51"/>
      <c r="F317" s="51"/>
      <c r="G317" s="51"/>
      <c r="H317" s="51"/>
      <c r="I317" s="51"/>
      <c r="J317" s="51"/>
      <c r="K317" s="51"/>
      <c r="L317" s="51"/>
      <c r="M317" s="51"/>
      <c r="N317" s="51"/>
      <c r="O317" s="51"/>
    </row>
    <row r="318" spans="1:15" ht="12.9" x14ac:dyDescent="0.5">
      <c r="A318" s="51"/>
      <c r="B318" s="51"/>
      <c r="C318" s="51"/>
      <c r="D318" s="51"/>
      <c r="E318" s="51"/>
      <c r="F318" s="51"/>
      <c r="G318" s="51"/>
      <c r="H318" s="51"/>
      <c r="I318" s="51"/>
      <c r="J318" s="51"/>
      <c r="K318" s="51"/>
      <c r="L318" s="51"/>
      <c r="M318" s="51"/>
      <c r="N318" s="51"/>
      <c r="O318" s="51"/>
    </row>
    <row r="319" spans="1:15" ht="12.9" x14ac:dyDescent="0.5">
      <c r="A319" s="51"/>
      <c r="B319" s="51"/>
      <c r="C319" s="51"/>
      <c r="D319" s="51"/>
      <c r="E319" s="51"/>
      <c r="F319" s="51"/>
      <c r="G319" s="51"/>
      <c r="H319" s="51"/>
      <c r="I319" s="51"/>
      <c r="J319" s="51"/>
      <c r="K319" s="51"/>
      <c r="L319" s="51"/>
      <c r="M319" s="51"/>
      <c r="N319" s="51"/>
      <c r="O319" s="51"/>
    </row>
    <row r="320" spans="1:15" ht="12.9" x14ac:dyDescent="0.5">
      <c r="A320" s="51"/>
      <c r="B320" s="51"/>
      <c r="C320" s="51"/>
      <c r="D320" s="51"/>
      <c r="E320" s="51"/>
      <c r="F320" s="51"/>
      <c r="G320" s="51"/>
      <c r="H320" s="51"/>
      <c r="I320" s="51"/>
      <c r="J320" s="51"/>
      <c r="K320" s="51"/>
      <c r="L320" s="51"/>
      <c r="M320" s="51"/>
      <c r="N320" s="51"/>
      <c r="O320" s="51"/>
    </row>
    <row r="321" spans="1:15" ht="12.9" x14ac:dyDescent="0.5">
      <c r="A321" s="51"/>
      <c r="B321" s="51"/>
      <c r="C321" s="51"/>
      <c r="D321" s="51"/>
      <c r="E321" s="51"/>
      <c r="F321" s="51"/>
      <c r="G321" s="51"/>
      <c r="H321" s="51"/>
      <c r="I321" s="51"/>
      <c r="J321" s="51"/>
      <c r="K321" s="51"/>
      <c r="L321" s="51"/>
      <c r="M321" s="51"/>
      <c r="N321" s="51"/>
      <c r="O321" s="51"/>
    </row>
    <row r="322" spans="1:15" ht="12.9" x14ac:dyDescent="0.5">
      <c r="A322" s="51"/>
      <c r="B322" s="51"/>
      <c r="C322" s="51"/>
      <c r="D322" s="51"/>
      <c r="E322" s="51"/>
      <c r="F322" s="51"/>
      <c r="G322" s="51"/>
      <c r="H322" s="51"/>
      <c r="I322" s="51"/>
      <c r="J322" s="51"/>
      <c r="K322" s="51"/>
      <c r="L322" s="51"/>
      <c r="M322" s="51"/>
      <c r="N322" s="51"/>
      <c r="O322" s="51"/>
    </row>
    <row r="323" spans="1:15" ht="12.9" x14ac:dyDescent="0.5">
      <c r="A323" s="51"/>
      <c r="B323" s="51"/>
      <c r="C323" s="51"/>
      <c r="D323" s="51"/>
      <c r="E323" s="51"/>
      <c r="F323" s="51"/>
      <c r="G323" s="51"/>
      <c r="H323" s="51"/>
      <c r="I323" s="51"/>
      <c r="J323" s="51"/>
      <c r="K323" s="51"/>
      <c r="L323" s="51"/>
      <c r="M323" s="51"/>
      <c r="N323" s="51"/>
      <c r="O323" s="51"/>
    </row>
    <row r="324" spans="1:15" ht="12.9" x14ac:dyDescent="0.5">
      <c r="A324" s="51"/>
      <c r="B324" s="51"/>
      <c r="C324" s="51"/>
      <c r="D324" s="51"/>
      <c r="E324" s="51"/>
      <c r="F324" s="51"/>
      <c r="G324" s="51"/>
      <c r="H324" s="51"/>
      <c r="I324" s="51"/>
      <c r="J324" s="51"/>
      <c r="K324" s="51"/>
      <c r="L324" s="51"/>
      <c r="M324" s="51"/>
      <c r="N324" s="51"/>
      <c r="O324" s="51"/>
    </row>
    <row r="325" spans="1:15" ht="12.9" x14ac:dyDescent="0.5">
      <c r="A325" s="51"/>
      <c r="B325" s="51"/>
      <c r="C325" s="51"/>
      <c r="D325" s="51"/>
      <c r="E325" s="51"/>
      <c r="F325" s="51"/>
      <c r="G325" s="51"/>
      <c r="H325" s="51"/>
      <c r="I325" s="51"/>
      <c r="J325" s="51"/>
      <c r="K325" s="51"/>
      <c r="L325" s="51"/>
      <c r="M325" s="51"/>
      <c r="N325" s="51"/>
      <c r="O325" s="51"/>
    </row>
    <row r="326" spans="1:15" ht="12.9" x14ac:dyDescent="0.5">
      <c r="A326" s="51"/>
      <c r="B326" s="51"/>
      <c r="C326" s="51"/>
      <c r="D326" s="51"/>
      <c r="E326" s="51"/>
      <c r="F326" s="51"/>
      <c r="G326" s="51"/>
      <c r="H326" s="51"/>
      <c r="I326" s="51"/>
      <c r="J326" s="51"/>
      <c r="K326" s="51"/>
      <c r="L326" s="51"/>
      <c r="M326" s="51"/>
      <c r="N326" s="51"/>
      <c r="O326" s="51"/>
    </row>
    <row r="327" spans="1:15" ht="12.9" x14ac:dyDescent="0.5">
      <c r="A327" s="51"/>
      <c r="B327" s="51"/>
      <c r="C327" s="51"/>
      <c r="D327" s="51"/>
      <c r="E327" s="51"/>
      <c r="F327" s="51"/>
      <c r="G327" s="51"/>
      <c r="H327" s="51"/>
      <c r="I327" s="51"/>
      <c r="J327" s="51"/>
      <c r="K327" s="51"/>
      <c r="L327" s="51"/>
      <c r="M327" s="51"/>
      <c r="N327" s="51"/>
      <c r="O327" s="51"/>
    </row>
    <row r="328" spans="1:15" ht="12.9" x14ac:dyDescent="0.5">
      <c r="A328" s="51"/>
      <c r="B328" s="51"/>
      <c r="C328" s="51"/>
      <c r="D328" s="51"/>
      <c r="E328" s="51"/>
      <c r="F328" s="51"/>
      <c r="G328" s="51"/>
      <c r="H328" s="51"/>
      <c r="I328" s="51"/>
      <c r="J328" s="51"/>
      <c r="K328" s="51"/>
      <c r="L328" s="51"/>
      <c r="M328" s="51"/>
      <c r="N328" s="51"/>
      <c r="O328" s="51"/>
    </row>
    <row r="329" spans="1:15" ht="12.9" x14ac:dyDescent="0.5">
      <c r="A329" s="51"/>
      <c r="B329" s="51"/>
      <c r="C329" s="51"/>
      <c r="D329" s="51"/>
      <c r="E329" s="51"/>
      <c r="F329" s="51"/>
      <c r="G329" s="51"/>
      <c r="H329" s="51"/>
      <c r="I329" s="51"/>
      <c r="J329" s="51"/>
      <c r="K329" s="51"/>
      <c r="L329" s="51"/>
      <c r="M329" s="51"/>
      <c r="N329" s="51"/>
      <c r="O329" s="51"/>
    </row>
    <row r="330" spans="1:15" ht="12.9" x14ac:dyDescent="0.5">
      <c r="A330" s="51"/>
      <c r="B330" s="51"/>
      <c r="C330" s="51"/>
      <c r="D330" s="51"/>
      <c r="E330" s="51"/>
      <c r="F330" s="51"/>
      <c r="G330" s="51"/>
      <c r="H330" s="51"/>
      <c r="I330" s="51"/>
      <c r="J330" s="51"/>
      <c r="K330" s="51"/>
      <c r="L330" s="51"/>
      <c r="M330" s="51"/>
      <c r="N330" s="51"/>
      <c r="O330" s="51"/>
    </row>
    <row r="331" spans="1:15" ht="12.9" x14ac:dyDescent="0.5">
      <c r="A331" s="51"/>
      <c r="B331" s="51"/>
      <c r="C331" s="51"/>
      <c r="D331" s="51"/>
      <c r="E331" s="51"/>
      <c r="F331" s="51"/>
      <c r="G331" s="51"/>
      <c r="H331" s="51"/>
      <c r="I331" s="51"/>
      <c r="J331" s="51"/>
      <c r="K331" s="51"/>
      <c r="L331" s="51"/>
      <c r="M331" s="51"/>
      <c r="N331" s="51"/>
      <c r="O331" s="51"/>
    </row>
    <row r="332" spans="1:15" ht="12.9" x14ac:dyDescent="0.5">
      <c r="A332" s="51"/>
      <c r="B332" s="51"/>
      <c r="C332" s="51"/>
      <c r="D332" s="51"/>
      <c r="E332" s="51"/>
      <c r="F332" s="51"/>
      <c r="G332" s="51"/>
      <c r="H332" s="51"/>
      <c r="I332" s="51"/>
      <c r="J332" s="51"/>
      <c r="K332" s="51"/>
      <c r="L332" s="51"/>
      <c r="M332" s="51"/>
      <c r="N332" s="51"/>
      <c r="O332" s="51"/>
    </row>
    <row r="333" spans="1:15" ht="12.9" x14ac:dyDescent="0.5">
      <c r="A333" s="51"/>
      <c r="B333" s="51"/>
      <c r="C333" s="51"/>
      <c r="D333" s="51"/>
      <c r="E333" s="51"/>
      <c r="F333" s="51"/>
      <c r="G333" s="51"/>
      <c r="H333" s="51"/>
      <c r="I333" s="51"/>
      <c r="J333" s="51"/>
      <c r="K333" s="51"/>
      <c r="L333" s="51"/>
      <c r="M333" s="51"/>
      <c r="N333" s="51"/>
      <c r="O333" s="51"/>
    </row>
    <row r="334" spans="1:15" ht="12.9" x14ac:dyDescent="0.5">
      <c r="A334" s="51"/>
      <c r="B334" s="51"/>
      <c r="C334" s="51"/>
      <c r="D334" s="51"/>
      <c r="E334" s="51"/>
      <c r="F334" s="51"/>
      <c r="G334" s="51"/>
      <c r="H334" s="51"/>
      <c r="I334" s="51"/>
      <c r="J334" s="51"/>
      <c r="K334" s="51"/>
      <c r="L334" s="51"/>
      <c r="M334" s="51"/>
      <c r="N334" s="51"/>
      <c r="O334" s="51"/>
    </row>
    <row r="335" spans="1:15" ht="12.9" x14ac:dyDescent="0.5">
      <c r="A335" s="51"/>
      <c r="B335" s="51"/>
      <c r="C335" s="51"/>
      <c r="D335" s="51"/>
      <c r="E335" s="51"/>
      <c r="F335" s="51"/>
      <c r="G335" s="51"/>
      <c r="H335" s="51"/>
      <c r="I335" s="51"/>
      <c r="J335" s="51"/>
      <c r="K335" s="51"/>
      <c r="L335" s="51"/>
      <c r="M335" s="51"/>
      <c r="N335" s="51"/>
      <c r="O335" s="51"/>
    </row>
    <row r="336" spans="1:15" ht="12.9" x14ac:dyDescent="0.5">
      <c r="A336" s="51"/>
      <c r="B336" s="51"/>
      <c r="C336" s="51"/>
      <c r="D336" s="51"/>
      <c r="E336" s="51"/>
      <c r="F336" s="51"/>
      <c r="G336" s="51"/>
      <c r="H336" s="51"/>
      <c r="I336" s="51"/>
      <c r="J336" s="51"/>
      <c r="K336" s="51"/>
      <c r="L336" s="51"/>
      <c r="M336" s="51"/>
      <c r="N336" s="51"/>
      <c r="O336" s="51"/>
    </row>
    <row r="337" spans="1:15" ht="12.9" x14ac:dyDescent="0.5">
      <c r="A337" s="51"/>
      <c r="B337" s="51"/>
      <c r="C337" s="51"/>
      <c r="D337" s="51"/>
      <c r="E337" s="51"/>
      <c r="F337" s="51"/>
      <c r="G337" s="51"/>
      <c r="H337" s="51"/>
      <c r="I337" s="51"/>
      <c r="J337" s="51"/>
      <c r="K337" s="51"/>
      <c r="L337" s="51"/>
      <c r="M337" s="51"/>
      <c r="N337" s="51"/>
      <c r="O337" s="51"/>
    </row>
    <row r="338" spans="1:15" ht="12.9" x14ac:dyDescent="0.5">
      <c r="A338" s="51"/>
      <c r="B338" s="51"/>
      <c r="C338" s="51"/>
      <c r="D338" s="51"/>
      <c r="E338" s="51"/>
      <c r="F338" s="51"/>
      <c r="G338" s="51"/>
      <c r="H338" s="51"/>
      <c r="I338" s="51"/>
      <c r="J338" s="51"/>
      <c r="K338" s="51"/>
      <c r="L338" s="51"/>
      <c r="M338" s="51"/>
      <c r="N338" s="51"/>
      <c r="O338" s="51"/>
    </row>
    <row r="339" spans="1:15" ht="12.9" x14ac:dyDescent="0.5">
      <c r="A339" s="51"/>
      <c r="B339" s="51"/>
      <c r="C339" s="51"/>
      <c r="D339" s="51"/>
      <c r="E339" s="51"/>
      <c r="F339" s="51"/>
      <c r="G339" s="51"/>
      <c r="H339" s="51"/>
      <c r="I339" s="51"/>
      <c r="J339" s="51"/>
      <c r="K339" s="51"/>
      <c r="L339" s="51"/>
      <c r="M339" s="51"/>
      <c r="N339" s="51"/>
      <c r="O339" s="51"/>
    </row>
    <row r="340" spans="1:15" ht="12.9" x14ac:dyDescent="0.5">
      <c r="A340" s="51"/>
      <c r="B340" s="51"/>
      <c r="C340" s="51"/>
      <c r="D340" s="51"/>
      <c r="E340" s="51"/>
      <c r="F340" s="51"/>
      <c r="G340" s="51"/>
      <c r="H340" s="51"/>
      <c r="I340" s="51"/>
      <c r="J340" s="51"/>
      <c r="K340" s="51"/>
      <c r="L340" s="51"/>
      <c r="M340" s="51"/>
      <c r="N340" s="51"/>
      <c r="O340" s="51"/>
    </row>
    <row r="341" spans="1:15" ht="12.9" x14ac:dyDescent="0.5">
      <c r="A341" s="51"/>
      <c r="B341" s="51"/>
      <c r="C341" s="51"/>
      <c r="D341" s="51"/>
      <c r="E341" s="51"/>
      <c r="F341" s="51"/>
      <c r="G341" s="51"/>
      <c r="H341" s="51"/>
      <c r="I341" s="51"/>
      <c r="J341" s="51"/>
      <c r="K341" s="51"/>
      <c r="L341" s="51"/>
      <c r="M341" s="51"/>
      <c r="N341" s="51"/>
      <c r="O341" s="51"/>
    </row>
    <row r="342" spans="1:15" ht="12.9" x14ac:dyDescent="0.5">
      <c r="A342" s="51"/>
      <c r="B342" s="51"/>
      <c r="C342" s="51"/>
      <c r="D342" s="51"/>
      <c r="E342" s="51"/>
      <c r="F342" s="51"/>
      <c r="G342" s="51"/>
      <c r="H342" s="51"/>
      <c r="I342" s="51"/>
      <c r="J342" s="51"/>
      <c r="K342" s="51"/>
      <c r="L342" s="51"/>
      <c r="M342" s="51"/>
      <c r="N342" s="51"/>
      <c r="O342" s="51"/>
    </row>
  </sheetData>
  <mergeCells count="10">
    <mergeCell ref="E138:G138"/>
    <mergeCell ref="E59:E60"/>
    <mergeCell ref="F59:F60"/>
    <mergeCell ref="G59:I59"/>
    <mergeCell ref="E58:I58"/>
    <mergeCell ref="E105:G105"/>
    <mergeCell ref="E136:G136"/>
    <mergeCell ref="E121:G121"/>
    <mergeCell ref="E123:G123"/>
    <mergeCell ref="E62:I62"/>
  </mergeCells>
  <dataValidations xWindow="996" yWindow="515" count="4">
    <dataValidation allowBlank="1" showInputMessage="1" showErrorMessage="1" promptTitle="Footrot treatments" prompt="Enter chemical use per 1,000 head of animals treated. (i.e. 2)" sqref="D34:D35 D39:D40"/>
    <dataValidation allowBlank="1" showInputMessage="1" showErrorMessage="1" promptTitle="Treatment frequency" prompt="Enter the number of times the footrot treatment will be administered over a 12 month period" sqref="G63:I68 E63:F70"/>
    <dataValidation allowBlank="1" showInputMessage="1" showErrorMessage="1" promptTitle="Treatment frequency" prompt="Enter the number of times the footrot treatment will be administered over a 12 month period_x000a__x000a_Note: Specific footrot vaccine program requires at least two doeses to be administered, at least 4 weeks apart." sqref="G69:I70"/>
    <dataValidation allowBlank="1" showInputMessage="1" showErrorMessage="1" promptTitle="Footrot incidence" prompt="Enter incidence of footrot across entire flock (i.e. 5%)" sqref="E107:G116"/>
  </dataValidations>
  <pageMargins left="0.31496062992125984" right="0.31496062992125984" top="0.74803149606299213" bottom="0.35433070866141736" header="0.31496062992125984" footer="0.31496062992125984"/>
  <pageSetup paperSize="9" scale="86" fitToHeight="0" orientation="portrait" r:id="rId1"/>
  <rowBreaks count="2" manualBreakCount="2">
    <brk id="53"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zoomScale="87" zoomScaleNormal="87" workbookViewId="0">
      <selection activeCell="J65" sqref="J65"/>
    </sheetView>
  </sheetViews>
  <sheetFormatPr defaultRowHeight="12.6" x14ac:dyDescent="0.45"/>
  <cols>
    <col min="1" max="1" width="2.8203125" customWidth="1"/>
    <col min="2" max="2" width="25.8203125" customWidth="1"/>
    <col min="3" max="3" width="16.17578125" customWidth="1"/>
    <col min="4" max="4" width="15.29296875" customWidth="1"/>
    <col min="5" max="5" width="15.8203125" customWidth="1"/>
    <col min="6" max="6" width="19" customWidth="1"/>
    <col min="11" max="11" width="12.17578125" bestFit="1" customWidth="1"/>
  </cols>
  <sheetData>
    <row r="1" spans="1:8" ht="20.399999999999999" x14ac:dyDescent="0.75">
      <c r="A1" s="251" t="s">
        <v>282</v>
      </c>
      <c r="B1" s="252"/>
      <c r="C1" s="252"/>
      <c r="D1" s="252"/>
      <c r="E1" s="252"/>
      <c r="F1" s="252"/>
      <c r="G1" s="252"/>
      <c r="H1" s="252"/>
    </row>
    <row r="2" spans="1:8" ht="18.3" x14ac:dyDescent="0.7">
      <c r="A2" s="253"/>
      <c r="B2" s="255" t="s">
        <v>198</v>
      </c>
      <c r="C2" s="252"/>
      <c r="D2" s="252"/>
      <c r="E2" s="252"/>
      <c r="F2" s="252"/>
      <c r="G2" s="252"/>
      <c r="H2" s="252"/>
    </row>
    <row r="3" spans="1:8" ht="18.3" x14ac:dyDescent="0.7">
      <c r="A3" s="253"/>
      <c r="B3" s="255" t="s">
        <v>197</v>
      </c>
      <c r="C3" s="252"/>
      <c r="D3" s="252"/>
      <c r="E3" s="252"/>
      <c r="F3" s="252"/>
      <c r="G3" s="252"/>
      <c r="H3" s="252"/>
    </row>
    <row r="4" spans="1:8" ht="15.7" customHeight="1" x14ac:dyDescent="0.7">
      <c r="A4" s="253"/>
      <c r="B4" s="255" t="s">
        <v>283</v>
      </c>
      <c r="C4" s="252"/>
      <c r="D4" s="252"/>
      <c r="E4" s="252"/>
      <c r="F4" s="252"/>
      <c r="G4" s="252"/>
      <c r="H4" s="252"/>
    </row>
    <row r="5" spans="1:8" ht="15.7" customHeight="1" x14ac:dyDescent="0.7">
      <c r="A5" s="253"/>
      <c r="B5" s="255" t="s">
        <v>321</v>
      </c>
      <c r="C5" s="252"/>
      <c r="D5" s="252"/>
      <c r="E5" s="252"/>
      <c r="F5" s="252"/>
      <c r="G5" s="252"/>
      <c r="H5" s="252"/>
    </row>
    <row r="6" spans="1:8" ht="15.7" customHeight="1" x14ac:dyDescent="0.7">
      <c r="A6" s="253"/>
      <c r="B6" s="255" t="s">
        <v>320</v>
      </c>
      <c r="C6" s="252"/>
      <c r="D6" s="252"/>
      <c r="E6" s="252"/>
      <c r="F6" s="252"/>
      <c r="G6" s="252"/>
      <c r="H6" s="252"/>
    </row>
    <row r="7" spans="1:8" ht="15.7" customHeight="1" x14ac:dyDescent="0.7">
      <c r="A7" s="253"/>
      <c r="B7" s="255" t="s">
        <v>276</v>
      </c>
      <c r="C7" s="362">
        <f>'Step 1'!D11</f>
        <v>1000</v>
      </c>
      <c r="D7" s="365" t="s">
        <v>279</v>
      </c>
      <c r="E7" s="252"/>
      <c r="F7" s="252"/>
      <c r="G7" s="252"/>
      <c r="H7" s="252"/>
    </row>
    <row r="8" spans="1:8" ht="15.7" customHeight="1" x14ac:dyDescent="0.7">
      <c r="A8" s="253"/>
      <c r="B8" s="255" t="s">
        <v>277</v>
      </c>
      <c r="C8" s="363"/>
      <c r="D8" s="366"/>
      <c r="E8" s="252"/>
      <c r="F8" s="252"/>
      <c r="G8" s="252"/>
      <c r="H8" s="252"/>
    </row>
    <row r="9" spans="1:8" ht="15.7" customHeight="1" x14ac:dyDescent="0.7">
      <c r="A9" s="253"/>
      <c r="B9" s="361" t="s">
        <v>129</v>
      </c>
      <c r="C9" s="362">
        <f>'Step 1'!D12</f>
        <v>6000</v>
      </c>
      <c r="D9" s="365" t="s">
        <v>201</v>
      </c>
      <c r="E9" s="252"/>
      <c r="F9" s="252"/>
      <c r="G9" s="252"/>
      <c r="H9" s="252"/>
    </row>
    <row r="10" spans="1:8" ht="15.7" customHeight="1" x14ac:dyDescent="0.7">
      <c r="A10" s="253"/>
      <c r="B10" s="361" t="s">
        <v>130</v>
      </c>
      <c r="C10" s="362">
        <f>'Step 1'!D13</f>
        <v>2500</v>
      </c>
      <c r="D10" s="365" t="s">
        <v>201</v>
      </c>
      <c r="E10" s="252"/>
      <c r="F10" s="252"/>
      <c r="G10" s="252"/>
      <c r="H10" s="252"/>
    </row>
    <row r="11" spans="1:8" ht="15.7" customHeight="1" x14ac:dyDescent="0.7">
      <c r="A11" s="253"/>
      <c r="B11" s="361" t="s">
        <v>2</v>
      </c>
      <c r="C11" s="362">
        <f>'Step 1'!G14</f>
        <v>60</v>
      </c>
      <c r="D11" s="365" t="s">
        <v>201</v>
      </c>
      <c r="E11" s="252"/>
      <c r="F11" s="252"/>
      <c r="G11" s="252"/>
      <c r="H11" s="252"/>
    </row>
    <row r="12" spans="1:8" ht="15.7" customHeight="1" x14ac:dyDescent="0.7">
      <c r="A12" s="253"/>
      <c r="B12" s="361" t="s">
        <v>278</v>
      </c>
      <c r="C12" s="364">
        <f>'Step 1'!G17+'Step 1'!G20</f>
        <v>1625</v>
      </c>
      <c r="D12" s="365" t="s">
        <v>201</v>
      </c>
      <c r="E12" s="252"/>
      <c r="F12" s="252"/>
      <c r="G12" s="252"/>
      <c r="H12" s="252"/>
    </row>
    <row r="13" spans="1:8" ht="15.7" customHeight="1" x14ac:dyDescent="0.7">
      <c r="A13" s="253"/>
      <c r="B13" s="361"/>
      <c r="C13" s="362">
        <f>SUM(C9:C12)</f>
        <v>10185</v>
      </c>
      <c r="D13" s="365" t="s">
        <v>201</v>
      </c>
      <c r="E13" s="252"/>
      <c r="F13" s="252"/>
      <c r="G13" s="252"/>
      <c r="H13" s="252"/>
    </row>
    <row r="14" spans="1:8" ht="15.7" customHeight="1" x14ac:dyDescent="0.7">
      <c r="A14" s="253"/>
      <c r="B14" s="361"/>
      <c r="C14" s="362"/>
      <c r="D14" s="365"/>
      <c r="E14" s="252"/>
      <c r="F14" s="252"/>
      <c r="G14" s="252"/>
      <c r="H14" s="252"/>
    </row>
    <row r="15" spans="1:8" ht="16.5" customHeight="1" x14ac:dyDescent="0.7">
      <c r="A15" s="253"/>
      <c r="B15" s="357" t="s">
        <v>275</v>
      </c>
      <c r="D15" s="255" t="s">
        <v>314</v>
      </c>
      <c r="E15" s="252"/>
      <c r="F15" s="252"/>
      <c r="G15" s="252"/>
      <c r="H15" s="252"/>
    </row>
    <row r="16" spans="1:8" ht="18" customHeight="1" x14ac:dyDescent="0.6">
      <c r="A16" s="252"/>
      <c r="B16" s="113"/>
      <c r="C16" s="76" t="s">
        <v>287</v>
      </c>
      <c r="D16" s="406" t="s">
        <v>81</v>
      </c>
      <c r="E16" s="406"/>
      <c r="F16" s="406"/>
      <c r="G16" s="252"/>
      <c r="H16" s="252"/>
    </row>
    <row r="17" spans="1:11" s="7" customFormat="1" ht="34" customHeight="1" x14ac:dyDescent="0.6">
      <c r="A17" s="252"/>
      <c r="B17" s="114"/>
      <c r="C17" s="75"/>
      <c r="D17" s="95" t="s">
        <v>308</v>
      </c>
      <c r="E17" s="95" t="s">
        <v>180</v>
      </c>
      <c r="F17" s="95" t="s">
        <v>181</v>
      </c>
      <c r="G17" s="252"/>
      <c r="H17" s="252"/>
      <c r="K17"/>
    </row>
    <row r="18" spans="1:11" s="7" customFormat="1" ht="12.9" x14ac:dyDescent="0.45">
      <c r="A18" s="252"/>
      <c r="B18" s="359"/>
      <c r="C18" s="358" t="s">
        <v>274</v>
      </c>
      <c r="D18" s="358" t="s">
        <v>274</v>
      </c>
      <c r="E18" s="358" t="s">
        <v>274</v>
      </c>
      <c r="F18" s="358" t="s">
        <v>274</v>
      </c>
      <c r="G18" s="252"/>
      <c r="H18" s="252"/>
      <c r="K18"/>
    </row>
    <row r="19" spans="1:11" s="7" customFormat="1" ht="25.8" hidden="1" x14ac:dyDescent="0.5">
      <c r="A19" s="252"/>
      <c r="B19" s="305"/>
      <c r="C19" s="306" t="s">
        <v>287</v>
      </c>
      <c r="D19" s="306" t="s">
        <v>308</v>
      </c>
      <c r="E19" s="306" t="s">
        <v>180</v>
      </c>
      <c r="F19" s="306" t="s">
        <v>181</v>
      </c>
      <c r="G19" s="252"/>
      <c r="H19" s="252"/>
      <c r="K19"/>
    </row>
    <row r="20" spans="1:11" ht="15.6" x14ac:dyDescent="0.6">
      <c r="A20" s="252"/>
      <c r="B20" s="173" t="s">
        <v>8</v>
      </c>
      <c r="C20" s="219">
        <f>'Worksheet (1)'!I38/1000</f>
        <v>473.05</v>
      </c>
      <c r="D20" s="219">
        <f>'Worksheet (1)'!I89/1000</f>
        <v>422.0078125</v>
      </c>
      <c r="E20" s="219">
        <f>'Worksheet (2)'!I89/1000</f>
        <v>373.42281250000002</v>
      </c>
      <c r="F20" s="219">
        <f>'Worksheet (3)'!I89/1000</f>
        <v>324.9428125</v>
      </c>
      <c r="G20" s="252"/>
      <c r="H20" s="252"/>
    </row>
    <row r="21" spans="1:11" ht="15.6" x14ac:dyDescent="0.6">
      <c r="A21" s="252"/>
      <c r="B21" s="173" t="s">
        <v>9</v>
      </c>
      <c r="C21" s="219">
        <f>C20</f>
        <v>473.05</v>
      </c>
      <c r="D21" s="219">
        <f>'Worksheet (1)'!I124/1000</f>
        <v>426.29460000000012</v>
      </c>
      <c r="E21" s="219">
        <f>'Worksheet (2)'!I124/1000</f>
        <v>383.27501249999995</v>
      </c>
      <c r="F21" s="219">
        <f>'Worksheet (3)'!I124/1000</f>
        <v>412.64473750000002</v>
      </c>
      <c r="G21" s="252"/>
      <c r="H21" s="252"/>
    </row>
    <row r="22" spans="1:11" ht="15.6" x14ac:dyDescent="0.6">
      <c r="A22" s="252"/>
      <c r="B22" s="173" t="s">
        <v>10</v>
      </c>
      <c r="C22" s="219">
        <f t="shared" ref="C22:C29" si="0">C21</f>
        <v>473.05</v>
      </c>
      <c r="D22" s="219">
        <f>'Worksheet (1)'!I159/1000</f>
        <v>430.55321250000003</v>
      </c>
      <c r="E22" s="219">
        <f>'Worksheet (2)'!I159/1000</f>
        <v>393.62473750000004</v>
      </c>
      <c r="F22" s="219">
        <f>'Worksheet (3)'!I159/1000</f>
        <v>473.05</v>
      </c>
      <c r="G22" s="252"/>
      <c r="H22" s="252"/>
    </row>
    <row r="23" spans="1:11" ht="15.6" x14ac:dyDescent="0.6">
      <c r="A23" s="252"/>
      <c r="B23" s="173" t="s">
        <v>11</v>
      </c>
      <c r="C23" s="219">
        <f t="shared" si="0"/>
        <v>473.05</v>
      </c>
      <c r="D23" s="219">
        <f>'Worksheet (1)'!I194/1000</f>
        <v>434.84365000000003</v>
      </c>
      <c r="E23" s="219">
        <f>'Worksheet (2)'!I194/1000</f>
        <v>473.05</v>
      </c>
      <c r="F23" s="219">
        <f>'Worksheet (3)'!I194/1000</f>
        <v>473.05</v>
      </c>
      <c r="G23" s="252"/>
      <c r="H23" s="252"/>
    </row>
    <row r="24" spans="1:11" ht="15.6" x14ac:dyDescent="0.6">
      <c r="A24" s="252"/>
      <c r="B24" s="173" t="s">
        <v>6</v>
      </c>
      <c r="C24" s="219">
        <f t="shared" si="0"/>
        <v>473.05</v>
      </c>
      <c r="D24" s="219">
        <f>'Worksheet (1)'!I229/1000</f>
        <v>434.84365000000003</v>
      </c>
      <c r="E24" s="219">
        <f>'Worksheet (2)'!I229/1000</f>
        <v>473.05</v>
      </c>
      <c r="F24" s="219">
        <f>'Worksheet (3)'!I229/1000</f>
        <v>473.05</v>
      </c>
      <c r="G24" s="252"/>
      <c r="H24" s="252"/>
    </row>
    <row r="25" spans="1:11" ht="15.6" x14ac:dyDescent="0.6">
      <c r="A25" s="252"/>
      <c r="B25" s="173" t="s">
        <v>12</v>
      </c>
      <c r="C25" s="219">
        <f t="shared" si="0"/>
        <v>473.05</v>
      </c>
      <c r="D25" s="219">
        <f>'Worksheet (1)'!I264/1000</f>
        <v>434.84365000000003</v>
      </c>
      <c r="E25" s="219">
        <f>'Worksheet (2)'!I264/1000</f>
        <v>473.05</v>
      </c>
      <c r="F25" s="219">
        <f>'Worksheet (3)'!I264/1000</f>
        <v>473.05</v>
      </c>
      <c r="G25" s="252"/>
      <c r="H25" s="252"/>
    </row>
    <row r="26" spans="1:11" ht="15.6" x14ac:dyDescent="0.6">
      <c r="A26" s="252"/>
      <c r="B26" s="173" t="s">
        <v>13</v>
      </c>
      <c r="C26" s="219">
        <f t="shared" si="0"/>
        <v>473.05</v>
      </c>
      <c r="D26" s="219">
        <f>'Worksheet (1)'!I299/1000</f>
        <v>434.84365000000003</v>
      </c>
      <c r="E26" s="219">
        <f>'Worksheet (2)'!I299/1000</f>
        <v>473.05</v>
      </c>
      <c r="F26" s="219">
        <f>'Worksheet (3)'!I299/1000</f>
        <v>473.05</v>
      </c>
      <c r="G26" s="252"/>
      <c r="H26" s="252"/>
    </row>
    <row r="27" spans="1:11" ht="15.6" x14ac:dyDescent="0.6">
      <c r="A27" s="252"/>
      <c r="B27" s="173" t="s">
        <v>14</v>
      </c>
      <c r="C27" s="219">
        <f t="shared" si="0"/>
        <v>473.05</v>
      </c>
      <c r="D27" s="219">
        <f>'Worksheet (1)'!I334/1000</f>
        <v>434.84365000000003</v>
      </c>
      <c r="E27" s="219">
        <f>'Worksheet (2)'!I334/1000</f>
        <v>473.05</v>
      </c>
      <c r="F27" s="219">
        <f>'Worksheet (3)'!I334/1000</f>
        <v>473.05</v>
      </c>
      <c r="G27" s="252"/>
      <c r="H27" s="252"/>
    </row>
    <row r="28" spans="1:11" ht="15.6" x14ac:dyDescent="0.6">
      <c r="A28" s="252"/>
      <c r="B28" s="173" t="s">
        <v>15</v>
      </c>
      <c r="C28" s="219">
        <f t="shared" si="0"/>
        <v>473.05</v>
      </c>
      <c r="D28" s="219">
        <f>'Worksheet (1)'!I369/1000</f>
        <v>434.84365000000003</v>
      </c>
      <c r="E28" s="219">
        <f>'Worksheet (2)'!I369/1000</f>
        <v>473.05</v>
      </c>
      <c r="F28" s="219">
        <f>'Worksheet (3)'!I369/1000</f>
        <v>473.05</v>
      </c>
      <c r="G28" s="252"/>
      <c r="H28" s="252"/>
    </row>
    <row r="29" spans="1:11" ht="15.6" x14ac:dyDescent="0.6">
      <c r="A29" s="252"/>
      <c r="B29" s="307" t="s">
        <v>16</v>
      </c>
      <c r="C29" s="220">
        <f t="shared" si="0"/>
        <v>473.05</v>
      </c>
      <c r="D29" s="219">
        <f>'Worksheet (1)'!I404/1000</f>
        <v>434.84365000000003</v>
      </c>
      <c r="E29" s="220">
        <f>'Worksheet (2)'!I404/1000</f>
        <v>473.05</v>
      </c>
      <c r="F29" s="220">
        <f>'Worksheet (3)'!I404/1000</f>
        <v>473.05</v>
      </c>
      <c r="G29" s="252"/>
      <c r="H29" s="252"/>
    </row>
    <row r="30" spans="1:11" ht="15.6" x14ac:dyDescent="0.6">
      <c r="A30" s="252"/>
      <c r="B30" s="308" t="s">
        <v>100</v>
      </c>
      <c r="C30" s="309">
        <f>AVERAGE(C20:C29)</f>
        <v>473.05000000000007</v>
      </c>
      <c r="D30" s="309">
        <f t="shared" ref="D30:F30" si="1">AVERAGE(D20:D29)</f>
        <v>432.27611749999994</v>
      </c>
      <c r="E30" s="309">
        <f t="shared" si="1"/>
        <v>446.16725625000009</v>
      </c>
      <c r="F30" s="309">
        <f t="shared" si="1"/>
        <v>452.19875500000006</v>
      </c>
      <c r="G30" s="252"/>
      <c r="H30" s="252"/>
      <c r="I30" s="6"/>
    </row>
    <row r="31" spans="1:11" ht="15.6" x14ac:dyDescent="0.6">
      <c r="A31" s="252"/>
      <c r="B31" s="360" t="s">
        <v>225</v>
      </c>
      <c r="C31" s="220"/>
      <c r="D31" s="356">
        <f>(D30-$C30)</f>
        <v>-40.773882500000127</v>
      </c>
      <c r="E31" s="356">
        <f t="shared" ref="E31:F31" si="2">(E30-$C30)</f>
        <v>-26.882743749999975</v>
      </c>
      <c r="F31" s="356">
        <f t="shared" si="2"/>
        <v>-20.851245000000006</v>
      </c>
      <c r="G31" s="252"/>
      <c r="H31" s="252"/>
      <c r="I31" s="6"/>
    </row>
    <row r="32" spans="1:11" ht="15.6" x14ac:dyDescent="0.6">
      <c r="A32" s="252"/>
      <c r="B32" s="252"/>
      <c r="C32" s="310"/>
      <c r="D32" s="310"/>
      <c r="E32" s="311"/>
      <c r="F32" s="311"/>
      <c r="G32" s="252"/>
      <c r="H32" s="252"/>
      <c r="I32" s="6"/>
    </row>
    <row r="33" spans="1:9" ht="15.6" x14ac:dyDescent="0.6">
      <c r="A33" s="252"/>
      <c r="B33" s="252"/>
      <c r="C33" s="310"/>
      <c r="D33" s="310"/>
      <c r="E33" s="311"/>
      <c r="F33" s="311"/>
      <c r="G33" s="252"/>
      <c r="H33" s="252"/>
      <c r="I33" s="6"/>
    </row>
    <row r="34" spans="1:9" ht="15.3" x14ac:dyDescent="0.55000000000000004">
      <c r="A34" s="252"/>
      <c r="B34" s="252"/>
      <c r="C34" s="312"/>
      <c r="D34" s="312"/>
      <c r="E34" s="252"/>
      <c r="F34" s="252"/>
      <c r="G34" s="252"/>
      <c r="H34" s="252"/>
      <c r="I34" s="6"/>
    </row>
    <row r="35" spans="1:9" ht="15.3" x14ac:dyDescent="0.55000000000000004">
      <c r="A35" s="252"/>
      <c r="B35" s="252"/>
      <c r="C35" s="252"/>
      <c r="D35" s="252"/>
      <c r="E35" s="252"/>
      <c r="F35" s="252"/>
      <c r="G35" s="252"/>
      <c r="H35" s="252"/>
      <c r="I35" s="6"/>
    </row>
    <row r="36" spans="1:9" ht="15.3" x14ac:dyDescent="0.55000000000000004">
      <c r="A36" s="252"/>
      <c r="B36" s="252"/>
      <c r="C36" s="252"/>
      <c r="D36" s="252"/>
      <c r="E36" s="252"/>
      <c r="F36" s="252"/>
      <c r="G36" s="252"/>
      <c r="H36" s="252"/>
      <c r="I36" s="6"/>
    </row>
    <row r="37" spans="1:9" ht="15.3" x14ac:dyDescent="0.55000000000000004">
      <c r="A37" s="252"/>
      <c r="B37" s="252"/>
      <c r="C37" s="252"/>
      <c r="D37" s="252"/>
      <c r="E37" s="252"/>
      <c r="F37" s="252"/>
      <c r="G37" s="252"/>
      <c r="H37" s="252"/>
      <c r="I37" s="6"/>
    </row>
    <row r="38" spans="1:9" x14ac:dyDescent="0.45">
      <c r="A38" s="252"/>
      <c r="B38" s="252"/>
      <c r="C38" s="252"/>
      <c r="D38" s="252"/>
      <c r="E38" s="252"/>
      <c r="F38" s="252"/>
      <c r="G38" s="252"/>
      <c r="H38" s="252"/>
      <c r="I38" s="1"/>
    </row>
    <row r="39" spans="1:9" x14ac:dyDescent="0.45">
      <c r="A39" s="252"/>
      <c r="B39" s="252"/>
      <c r="C39" s="252"/>
      <c r="D39" s="252"/>
      <c r="E39" s="252"/>
      <c r="F39" s="252"/>
      <c r="G39" s="252"/>
      <c r="H39" s="252"/>
      <c r="I39" s="1"/>
    </row>
    <row r="40" spans="1:9" x14ac:dyDescent="0.45">
      <c r="A40" s="252"/>
      <c r="B40" s="252"/>
      <c r="C40" s="252"/>
      <c r="D40" s="252"/>
      <c r="E40" s="252"/>
      <c r="F40" s="252"/>
      <c r="G40" s="252"/>
      <c r="H40" s="252"/>
      <c r="I40" s="1"/>
    </row>
    <row r="41" spans="1:9" x14ac:dyDescent="0.45">
      <c r="A41" s="252"/>
      <c r="B41" s="252"/>
      <c r="C41" s="252"/>
      <c r="D41" s="252"/>
      <c r="E41" s="252"/>
      <c r="F41" s="252"/>
      <c r="G41" s="252"/>
      <c r="H41" s="252"/>
      <c r="I41" s="1"/>
    </row>
    <row r="42" spans="1:9" x14ac:dyDescent="0.45">
      <c r="A42" s="252"/>
      <c r="B42" s="252"/>
      <c r="C42" s="252"/>
      <c r="D42" s="252"/>
      <c r="E42" s="252"/>
      <c r="F42" s="252"/>
      <c r="G42" s="252"/>
      <c r="H42" s="252"/>
      <c r="I42" s="1"/>
    </row>
    <row r="43" spans="1:9" x14ac:dyDescent="0.45">
      <c r="A43" s="252"/>
      <c r="B43" s="252"/>
      <c r="C43" s="252"/>
      <c r="D43" s="252"/>
      <c r="E43" s="252"/>
      <c r="F43" s="252"/>
      <c r="G43" s="252"/>
      <c r="H43" s="252"/>
      <c r="I43" s="1"/>
    </row>
    <row r="44" spans="1:9" x14ac:dyDescent="0.45">
      <c r="A44" s="252"/>
      <c r="B44" s="252"/>
      <c r="C44" s="252"/>
      <c r="D44" s="252"/>
      <c r="E44" s="252"/>
      <c r="F44" s="252"/>
      <c r="G44" s="252"/>
      <c r="H44" s="252"/>
      <c r="I44" s="1"/>
    </row>
    <row r="45" spans="1:9" x14ac:dyDescent="0.45">
      <c r="A45" s="252"/>
      <c r="B45" s="252"/>
      <c r="C45" s="252"/>
      <c r="D45" s="252"/>
      <c r="E45" s="252"/>
      <c r="F45" s="252"/>
      <c r="G45" s="252"/>
      <c r="H45" s="252"/>
      <c r="I45" s="1"/>
    </row>
    <row r="46" spans="1:9" x14ac:dyDescent="0.45">
      <c r="A46" s="252"/>
      <c r="B46" s="252"/>
      <c r="C46" s="252"/>
      <c r="D46" s="252"/>
      <c r="E46" s="252"/>
      <c r="F46" s="252"/>
      <c r="G46" s="252"/>
      <c r="H46" s="252"/>
      <c r="I46" s="1"/>
    </row>
    <row r="47" spans="1:9" x14ac:dyDescent="0.45">
      <c r="A47" s="252"/>
      <c r="B47" s="252"/>
      <c r="C47" s="252"/>
      <c r="D47" s="252"/>
      <c r="E47" s="252"/>
      <c r="F47" s="252"/>
      <c r="G47" s="252"/>
      <c r="H47" s="252"/>
      <c r="I47" s="1"/>
    </row>
    <row r="48" spans="1:9" x14ac:dyDescent="0.45">
      <c r="A48" s="252"/>
      <c r="B48" s="252"/>
      <c r="C48" s="252"/>
      <c r="D48" s="252"/>
      <c r="E48" s="252"/>
      <c r="F48" s="252"/>
      <c r="G48" s="252"/>
      <c r="H48" s="252"/>
      <c r="I48" s="1"/>
    </row>
    <row r="49" spans="1:9" x14ac:dyDescent="0.45">
      <c r="A49" s="252"/>
      <c r="B49" s="252"/>
      <c r="C49" s="252"/>
      <c r="D49" s="252"/>
      <c r="E49" s="252"/>
      <c r="F49" s="252"/>
      <c r="G49" s="252"/>
      <c r="H49" s="252"/>
      <c r="I49" s="1"/>
    </row>
    <row r="50" spans="1:9" x14ac:dyDescent="0.45">
      <c r="A50" s="252"/>
      <c r="B50" s="252"/>
      <c r="C50" s="252"/>
      <c r="D50" s="252"/>
      <c r="E50" s="252"/>
      <c r="F50" s="252"/>
      <c r="G50" s="252"/>
      <c r="H50" s="252"/>
      <c r="I50" s="1"/>
    </row>
    <row r="51" spans="1:9" x14ac:dyDescent="0.45">
      <c r="A51" s="252"/>
      <c r="B51" s="252"/>
      <c r="C51" s="252"/>
      <c r="D51" s="252"/>
      <c r="E51" s="252"/>
      <c r="F51" s="252"/>
      <c r="G51" s="252"/>
      <c r="H51" s="252"/>
      <c r="I51" s="1"/>
    </row>
    <row r="52" spans="1:9" x14ac:dyDescent="0.45">
      <c r="A52" s="252"/>
      <c r="B52" s="252"/>
      <c r="C52" s="252"/>
      <c r="D52" s="252"/>
      <c r="E52" s="252"/>
      <c r="F52" s="252"/>
      <c r="G52" s="252"/>
      <c r="H52" s="252"/>
    </row>
    <row r="53" spans="1:9" ht="15.6" x14ac:dyDescent="0.6">
      <c r="A53" s="252"/>
      <c r="B53" s="357" t="s">
        <v>280</v>
      </c>
      <c r="C53" s="252"/>
      <c r="D53" s="255" t="s">
        <v>314</v>
      </c>
      <c r="E53" s="252"/>
      <c r="F53" s="252"/>
      <c r="G53" s="252"/>
      <c r="H53" s="252"/>
    </row>
    <row r="54" spans="1:9" ht="15.6" x14ac:dyDescent="0.6">
      <c r="A54" s="252"/>
      <c r="B54" s="113"/>
      <c r="C54" s="76" t="s">
        <v>72</v>
      </c>
      <c r="D54" s="400" t="s">
        <v>81</v>
      </c>
      <c r="E54" s="401"/>
      <c r="F54" s="402"/>
      <c r="G54" s="252"/>
      <c r="H54" s="252"/>
    </row>
    <row r="55" spans="1:9" ht="31.2" x14ac:dyDescent="0.6">
      <c r="A55" s="252"/>
      <c r="B55" s="114"/>
      <c r="C55" s="75"/>
      <c r="D55" s="95" t="s">
        <v>308</v>
      </c>
      <c r="E55" s="95" t="s">
        <v>180</v>
      </c>
      <c r="F55" s="95" t="s">
        <v>181</v>
      </c>
      <c r="G55" s="252"/>
      <c r="H55" s="252"/>
    </row>
    <row r="56" spans="1:9" ht="12.9" x14ac:dyDescent="0.45">
      <c r="A56" s="252"/>
      <c r="B56" s="359"/>
      <c r="C56" s="358" t="s">
        <v>281</v>
      </c>
      <c r="D56" s="358" t="s">
        <v>281</v>
      </c>
      <c r="E56" s="358" t="s">
        <v>281</v>
      </c>
      <c r="F56" s="358" t="s">
        <v>281</v>
      </c>
      <c r="G56" s="252"/>
      <c r="H56" s="252"/>
    </row>
    <row r="57" spans="1:9" ht="15.6" x14ac:dyDescent="0.6">
      <c r="A57" s="252"/>
      <c r="B57" s="173" t="s">
        <v>8</v>
      </c>
      <c r="C57" s="222">
        <f>C20*1000/$C$9</f>
        <v>78.841666666666669</v>
      </c>
      <c r="D57" s="222">
        <f t="shared" ref="D57:F57" si="3">D20*1000/$C$9</f>
        <v>70.334635416666671</v>
      </c>
      <c r="E57" s="222">
        <f t="shared" si="3"/>
        <v>62.237135416666668</v>
      </c>
      <c r="F57" s="222">
        <f t="shared" si="3"/>
        <v>54.157135416666669</v>
      </c>
      <c r="G57" s="252"/>
      <c r="H57" s="252"/>
    </row>
    <row r="58" spans="1:9" ht="15.6" x14ac:dyDescent="0.6">
      <c r="A58" s="252"/>
      <c r="B58" s="173" t="s">
        <v>9</v>
      </c>
      <c r="C58" s="222">
        <f>C57</f>
        <v>78.841666666666669</v>
      </c>
      <c r="D58" s="222">
        <f t="shared" ref="D58:F58" si="4">D21*1000/$C$9</f>
        <v>71.04910000000001</v>
      </c>
      <c r="E58" s="222">
        <f t="shared" si="4"/>
        <v>63.879168749999991</v>
      </c>
      <c r="F58" s="222">
        <f t="shared" si="4"/>
        <v>68.77412291666667</v>
      </c>
      <c r="G58" s="252"/>
      <c r="H58" s="252"/>
    </row>
    <row r="59" spans="1:9" ht="15.6" x14ac:dyDescent="0.6">
      <c r="A59" s="252"/>
      <c r="B59" s="173" t="s">
        <v>10</v>
      </c>
      <c r="C59" s="222">
        <f t="shared" ref="C59:C66" si="5">C58</f>
        <v>78.841666666666669</v>
      </c>
      <c r="D59" s="222">
        <f t="shared" ref="D59:F59" si="6">D22*1000/$C$9</f>
        <v>71.758868750000005</v>
      </c>
      <c r="E59" s="222">
        <f t="shared" si="6"/>
        <v>65.604122916666668</v>
      </c>
      <c r="F59" s="222">
        <f t="shared" si="6"/>
        <v>78.841666666666669</v>
      </c>
      <c r="G59" s="252"/>
      <c r="H59" s="252"/>
    </row>
    <row r="60" spans="1:9" ht="15.6" x14ac:dyDescent="0.6">
      <c r="A60" s="252"/>
      <c r="B60" s="173" t="s">
        <v>11</v>
      </c>
      <c r="C60" s="222">
        <f t="shared" si="5"/>
        <v>78.841666666666669</v>
      </c>
      <c r="D60" s="222">
        <f t="shared" ref="D60:F60" si="7">D23*1000/$C$9</f>
        <v>72.473941666666676</v>
      </c>
      <c r="E60" s="222">
        <f t="shared" si="7"/>
        <v>78.841666666666669</v>
      </c>
      <c r="F60" s="222">
        <f t="shared" si="7"/>
        <v>78.841666666666669</v>
      </c>
      <c r="G60" s="252"/>
      <c r="H60" s="252"/>
    </row>
    <row r="61" spans="1:9" ht="15.6" x14ac:dyDescent="0.6">
      <c r="A61" s="252"/>
      <c r="B61" s="173" t="s">
        <v>6</v>
      </c>
      <c r="C61" s="222">
        <f t="shared" si="5"/>
        <v>78.841666666666669</v>
      </c>
      <c r="D61" s="222">
        <f t="shared" ref="D61:F61" si="8">D24*1000/$C$9</f>
        <v>72.473941666666676</v>
      </c>
      <c r="E61" s="222">
        <f t="shared" si="8"/>
        <v>78.841666666666669</v>
      </c>
      <c r="F61" s="222">
        <f t="shared" si="8"/>
        <v>78.841666666666669</v>
      </c>
      <c r="G61" s="252"/>
      <c r="H61" s="252"/>
    </row>
    <row r="62" spans="1:9" ht="15.6" x14ac:dyDescent="0.6">
      <c r="A62" s="252"/>
      <c r="B62" s="173" t="s">
        <v>12</v>
      </c>
      <c r="C62" s="222">
        <f t="shared" si="5"/>
        <v>78.841666666666669</v>
      </c>
      <c r="D62" s="222">
        <f t="shared" ref="D62:F62" si="9">D25*1000/$C$9</f>
        <v>72.473941666666676</v>
      </c>
      <c r="E62" s="222">
        <f t="shared" si="9"/>
        <v>78.841666666666669</v>
      </c>
      <c r="F62" s="222">
        <f t="shared" si="9"/>
        <v>78.841666666666669</v>
      </c>
      <c r="G62" s="252"/>
      <c r="H62" s="252"/>
    </row>
    <row r="63" spans="1:9" ht="15.6" x14ac:dyDescent="0.6">
      <c r="A63" s="252"/>
      <c r="B63" s="173" t="s">
        <v>13</v>
      </c>
      <c r="C63" s="222">
        <f t="shared" si="5"/>
        <v>78.841666666666669</v>
      </c>
      <c r="D63" s="222">
        <f t="shared" ref="D63:F63" si="10">D26*1000/$C$9</f>
        <v>72.473941666666676</v>
      </c>
      <c r="E63" s="222">
        <f t="shared" si="10"/>
        <v>78.841666666666669</v>
      </c>
      <c r="F63" s="222">
        <f t="shared" si="10"/>
        <v>78.841666666666669</v>
      </c>
      <c r="G63" s="252"/>
      <c r="H63" s="252"/>
    </row>
    <row r="64" spans="1:9" ht="15.6" x14ac:dyDescent="0.6">
      <c r="A64" s="252"/>
      <c r="B64" s="173" t="s">
        <v>14</v>
      </c>
      <c r="C64" s="222">
        <f t="shared" si="5"/>
        <v>78.841666666666669</v>
      </c>
      <c r="D64" s="222">
        <f t="shared" ref="D64:F64" si="11">D27*1000/$C$9</f>
        <v>72.473941666666676</v>
      </c>
      <c r="E64" s="222">
        <f t="shared" si="11"/>
        <v>78.841666666666669</v>
      </c>
      <c r="F64" s="222">
        <f t="shared" si="11"/>
        <v>78.841666666666669</v>
      </c>
      <c r="G64" s="252"/>
      <c r="H64" s="252"/>
    </row>
    <row r="65" spans="1:8" ht="15.6" x14ac:dyDescent="0.6">
      <c r="A65" s="252"/>
      <c r="B65" s="173" t="s">
        <v>15</v>
      </c>
      <c r="C65" s="222">
        <f t="shared" si="5"/>
        <v>78.841666666666669</v>
      </c>
      <c r="D65" s="222">
        <f t="shared" ref="D65:F65" si="12">D28*1000/$C$9</f>
        <v>72.473941666666676</v>
      </c>
      <c r="E65" s="222">
        <f t="shared" si="12"/>
        <v>78.841666666666669</v>
      </c>
      <c r="F65" s="222">
        <f t="shared" si="12"/>
        <v>78.841666666666669</v>
      </c>
      <c r="G65" s="252"/>
      <c r="H65" s="252"/>
    </row>
    <row r="66" spans="1:8" ht="15.6" x14ac:dyDescent="0.6">
      <c r="A66" s="252"/>
      <c r="B66" s="307" t="s">
        <v>16</v>
      </c>
      <c r="C66" s="223">
        <f t="shared" si="5"/>
        <v>78.841666666666669</v>
      </c>
      <c r="D66" s="222">
        <f t="shared" ref="D66:F66" si="13">D29*1000/$C$9</f>
        <v>72.473941666666676</v>
      </c>
      <c r="E66" s="222">
        <f t="shared" si="13"/>
        <v>78.841666666666669</v>
      </c>
      <c r="F66" s="222">
        <f t="shared" si="13"/>
        <v>78.841666666666669</v>
      </c>
      <c r="G66" s="252"/>
      <c r="H66" s="252"/>
    </row>
    <row r="67" spans="1:8" ht="15.6" x14ac:dyDescent="0.6">
      <c r="A67" s="252"/>
      <c r="B67" s="308" t="s">
        <v>100</v>
      </c>
      <c r="C67" s="367">
        <f>AVERAGE(C57:C66)</f>
        <v>78.841666666666683</v>
      </c>
      <c r="D67" s="367">
        <f t="shared" ref="D67:F67" si="14">AVERAGE(D57:D66)</f>
        <v>72.046019583333333</v>
      </c>
      <c r="E67" s="367">
        <f t="shared" si="14"/>
        <v>74.361209375000016</v>
      </c>
      <c r="F67" s="367">
        <f t="shared" si="14"/>
        <v>75.366459166666687</v>
      </c>
      <c r="G67" s="252"/>
      <c r="H67" s="252"/>
    </row>
    <row r="68" spans="1:8" ht="15.6" x14ac:dyDescent="0.6">
      <c r="A68" s="252"/>
      <c r="B68" s="360" t="s">
        <v>225</v>
      </c>
      <c r="C68" s="220"/>
      <c r="D68" s="223">
        <f>(D67-$C67)</f>
        <v>-6.7956470833333498</v>
      </c>
      <c r="E68" s="223">
        <f t="shared" ref="E68:F68" si="15">(E67-$C67)</f>
        <v>-4.4804572916666672</v>
      </c>
      <c r="F68" s="223">
        <f t="shared" si="15"/>
        <v>-3.4752074999999962</v>
      </c>
      <c r="G68" s="252"/>
      <c r="H68" s="252"/>
    </row>
    <row r="69" spans="1:8" x14ac:dyDescent="0.45">
      <c r="A69" s="252"/>
      <c r="B69" s="252"/>
      <c r="C69" s="252"/>
      <c r="D69" s="252"/>
      <c r="E69" s="252"/>
      <c r="F69" s="252"/>
      <c r="G69" s="252"/>
      <c r="H69" s="252"/>
    </row>
    <row r="70" spans="1:8" x14ac:dyDescent="0.45">
      <c r="A70" s="252"/>
      <c r="G70" s="252"/>
      <c r="H70" s="252"/>
    </row>
    <row r="71" spans="1:8" ht="15.6" x14ac:dyDescent="0.6">
      <c r="A71" s="252"/>
      <c r="B71" s="357" t="s">
        <v>284</v>
      </c>
      <c r="C71" s="252"/>
      <c r="D71" s="255" t="s">
        <v>314</v>
      </c>
      <c r="E71" s="252"/>
      <c r="F71" s="252"/>
      <c r="G71" s="252"/>
      <c r="H71" s="252"/>
    </row>
    <row r="72" spans="1:8" ht="15.6" x14ac:dyDescent="0.6">
      <c r="A72" s="252"/>
      <c r="B72" s="113"/>
      <c r="C72" s="76" t="s">
        <v>72</v>
      </c>
      <c r="D72" s="400" t="s">
        <v>81</v>
      </c>
      <c r="E72" s="401"/>
      <c r="F72" s="402"/>
      <c r="G72" s="252"/>
      <c r="H72" s="252"/>
    </row>
    <row r="73" spans="1:8" ht="31.2" x14ac:dyDescent="0.6">
      <c r="A73" s="252"/>
      <c r="B73" s="114"/>
      <c r="C73" s="75"/>
      <c r="D73" s="95" t="s">
        <v>308</v>
      </c>
      <c r="E73" s="95" t="s">
        <v>180</v>
      </c>
      <c r="F73" s="95" t="s">
        <v>181</v>
      </c>
      <c r="G73" s="252"/>
      <c r="H73" s="252"/>
    </row>
    <row r="74" spans="1:8" ht="12.9" x14ac:dyDescent="0.45">
      <c r="A74" s="252"/>
      <c r="B74" s="359"/>
      <c r="C74" s="358" t="s">
        <v>5</v>
      </c>
      <c r="D74" s="358" t="s">
        <v>5</v>
      </c>
      <c r="E74" s="358" t="s">
        <v>5</v>
      </c>
      <c r="F74" s="358" t="s">
        <v>5</v>
      </c>
      <c r="G74" s="252"/>
      <c r="H74" s="252"/>
    </row>
    <row r="75" spans="1:8" ht="15.6" x14ac:dyDescent="0.6">
      <c r="A75" s="252"/>
      <c r="B75" s="173" t="s">
        <v>8</v>
      </c>
      <c r="C75" s="219">
        <f>C20*1000/$C$7</f>
        <v>473.05</v>
      </c>
      <c r="D75" s="219">
        <f>D20*1000/$C$7</f>
        <v>422.0078125</v>
      </c>
      <c r="E75" s="219">
        <f t="shared" ref="E75:F75" si="16">E20*1000/$C$7</f>
        <v>373.42281250000002</v>
      </c>
      <c r="F75" s="219">
        <f t="shared" si="16"/>
        <v>324.9428125</v>
      </c>
      <c r="G75" s="252"/>
      <c r="H75" s="252"/>
    </row>
    <row r="76" spans="1:8" ht="15.6" x14ac:dyDescent="0.6">
      <c r="A76" s="252"/>
      <c r="B76" s="173" t="s">
        <v>9</v>
      </c>
      <c r="C76" s="219">
        <f>C75</f>
        <v>473.05</v>
      </c>
      <c r="D76" s="219">
        <f t="shared" ref="D76:F76" si="17">D21*1000/$C$7</f>
        <v>426.29460000000012</v>
      </c>
      <c r="E76" s="219">
        <f t="shared" si="17"/>
        <v>383.27501249999995</v>
      </c>
      <c r="F76" s="219">
        <f t="shared" si="17"/>
        <v>412.64473750000002</v>
      </c>
      <c r="G76" s="252"/>
      <c r="H76" s="252"/>
    </row>
    <row r="77" spans="1:8" ht="15.6" x14ac:dyDescent="0.6">
      <c r="A77" s="252"/>
      <c r="B77" s="173" t="s">
        <v>10</v>
      </c>
      <c r="C77" s="219">
        <f t="shared" ref="C77:C84" si="18">C76</f>
        <v>473.05</v>
      </c>
      <c r="D77" s="219">
        <f t="shared" ref="D77:F77" si="19">D22*1000/$C$7</f>
        <v>430.55321250000003</v>
      </c>
      <c r="E77" s="219">
        <f t="shared" si="19"/>
        <v>393.62473750000004</v>
      </c>
      <c r="F77" s="219">
        <f t="shared" si="19"/>
        <v>473.05</v>
      </c>
      <c r="G77" s="252"/>
      <c r="H77" s="252"/>
    </row>
    <row r="78" spans="1:8" ht="15.6" x14ac:dyDescent="0.6">
      <c r="A78" s="252"/>
      <c r="B78" s="173" t="s">
        <v>11</v>
      </c>
      <c r="C78" s="219">
        <f t="shared" si="18"/>
        <v>473.05</v>
      </c>
      <c r="D78" s="219">
        <f t="shared" ref="D78:F78" si="20">D23*1000/$C$7</f>
        <v>434.84365000000003</v>
      </c>
      <c r="E78" s="219">
        <f t="shared" si="20"/>
        <v>473.05</v>
      </c>
      <c r="F78" s="219">
        <f t="shared" si="20"/>
        <v>473.05</v>
      </c>
      <c r="G78" s="252"/>
      <c r="H78" s="252"/>
    </row>
    <row r="79" spans="1:8" ht="15.6" x14ac:dyDescent="0.6">
      <c r="A79" s="252"/>
      <c r="B79" s="173" t="s">
        <v>6</v>
      </c>
      <c r="C79" s="219">
        <f t="shared" si="18"/>
        <v>473.05</v>
      </c>
      <c r="D79" s="219">
        <f t="shared" ref="D79:F79" si="21">D24*1000/$C$7</f>
        <v>434.84365000000003</v>
      </c>
      <c r="E79" s="219">
        <f t="shared" si="21"/>
        <v>473.05</v>
      </c>
      <c r="F79" s="219">
        <f t="shared" si="21"/>
        <v>473.05</v>
      </c>
      <c r="G79" s="252"/>
      <c r="H79" s="252"/>
    </row>
    <row r="80" spans="1:8" ht="15.6" x14ac:dyDescent="0.6">
      <c r="A80" s="252"/>
      <c r="B80" s="173" t="s">
        <v>12</v>
      </c>
      <c r="C80" s="219">
        <f t="shared" si="18"/>
        <v>473.05</v>
      </c>
      <c r="D80" s="219">
        <f t="shared" ref="D80:F80" si="22">D25*1000/$C$7</f>
        <v>434.84365000000003</v>
      </c>
      <c r="E80" s="219">
        <f t="shared" si="22"/>
        <v>473.05</v>
      </c>
      <c r="F80" s="219">
        <f t="shared" si="22"/>
        <v>473.05</v>
      </c>
      <c r="G80" s="252"/>
      <c r="H80" s="252"/>
    </row>
    <row r="81" spans="1:8" ht="15.6" x14ac:dyDescent="0.6">
      <c r="A81" s="252"/>
      <c r="B81" s="173" t="s">
        <v>13</v>
      </c>
      <c r="C81" s="219">
        <f t="shared" si="18"/>
        <v>473.05</v>
      </c>
      <c r="D81" s="219">
        <f t="shared" ref="D81:F81" si="23">D26*1000/$C$7</f>
        <v>434.84365000000003</v>
      </c>
      <c r="E81" s="219">
        <f t="shared" si="23"/>
        <v>473.05</v>
      </c>
      <c r="F81" s="219">
        <f t="shared" si="23"/>
        <v>473.05</v>
      </c>
      <c r="G81" s="252"/>
      <c r="H81" s="252"/>
    </row>
    <row r="82" spans="1:8" ht="15.6" x14ac:dyDescent="0.6">
      <c r="A82" s="252"/>
      <c r="B82" s="173" t="s">
        <v>14</v>
      </c>
      <c r="C82" s="219">
        <f t="shared" si="18"/>
        <v>473.05</v>
      </c>
      <c r="D82" s="219">
        <f t="shared" ref="D82:F82" si="24">D27*1000/$C$7</f>
        <v>434.84365000000003</v>
      </c>
      <c r="E82" s="219">
        <f t="shared" si="24"/>
        <v>473.05</v>
      </c>
      <c r="F82" s="219">
        <f t="shared" si="24"/>
        <v>473.05</v>
      </c>
      <c r="G82" s="252"/>
      <c r="H82" s="252"/>
    </row>
    <row r="83" spans="1:8" ht="15.6" x14ac:dyDescent="0.6">
      <c r="A83" s="252"/>
      <c r="B83" s="173" t="s">
        <v>15</v>
      </c>
      <c r="C83" s="219">
        <f t="shared" si="18"/>
        <v>473.05</v>
      </c>
      <c r="D83" s="219">
        <f t="shared" ref="D83:F83" si="25">D28*1000/$C$7</f>
        <v>434.84365000000003</v>
      </c>
      <c r="E83" s="219">
        <f t="shared" si="25"/>
        <v>473.05</v>
      </c>
      <c r="F83" s="219">
        <f t="shared" si="25"/>
        <v>473.05</v>
      </c>
      <c r="G83" s="252"/>
      <c r="H83" s="252"/>
    </row>
    <row r="84" spans="1:8" ht="15.6" x14ac:dyDescent="0.6">
      <c r="A84" s="252"/>
      <c r="B84" s="307" t="s">
        <v>16</v>
      </c>
      <c r="C84" s="219">
        <f t="shared" si="18"/>
        <v>473.05</v>
      </c>
      <c r="D84" s="219">
        <f t="shared" ref="D84:F84" si="26">D29*1000/$C$7</f>
        <v>434.84365000000003</v>
      </c>
      <c r="E84" s="219">
        <f t="shared" si="26"/>
        <v>473.05</v>
      </c>
      <c r="F84" s="219">
        <f t="shared" si="26"/>
        <v>473.05</v>
      </c>
      <c r="G84" s="252"/>
      <c r="H84" s="252"/>
    </row>
    <row r="85" spans="1:8" ht="15.6" x14ac:dyDescent="0.6">
      <c r="A85" s="252"/>
      <c r="B85" s="308" t="s">
        <v>100</v>
      </c>
      <c r="C85" s="309">
        <f>AVERAGE(C75:C84)</f>
        <v>473.05000000000007</v>
      </c>
      <c r="D85" s="309">
        <f t="shared" ref="D85:F85" si="27">AVERAGE(D75:D84)</f>
        <v>432.27611749999994</v>
      </c>
      <c r="E85" s="309">
        <f t="shared" si="27"/>
        <v>446.16725625000009</v>
      </c>
      <c r="F85" s="309">
        <f t="shared" si="27"/>
        <v>452.19875500000006</v>
      </c>
      <c r="G85" s="252"/>
      <c r="H85" s="252"/>
    </row>
    <row r="86" spans="1:8" ht="15.6" x14ac:dyDescent="0.6">
      <c r="A86" s="252"/>
      <c r="B86" s="360" t="s">
        <v>225</v>
      </c>
      <c r="C86" s="220"/>
      <c r="D86" s="220">
        <f>(D85-$C85)</f>
        <v>-40.773882500000127</v>
      </c>
      <c r="E86" s="220">
        <f t="shared" ref="E86" si="28">(E85-$C85)</f>
        <v>-26.882743749999975</v>
      </c>
      <c r="F86" s="220">
        <f t="shared" ref="F86" si="29">(F85-$C85)</f>
        <v>-20.851245000000006</v>
      </c>
      <c r="G86" s="252"/>
      <c r="H86" s="252"/>
    </row>
    <row r="87" spans="1:8" x14ac:dyDescent="0.45">
      <c r="A87" s="252"/>
      <c r="B87" s="252"/>
      <c r="C87" s="252"/>
      <c r="D87" s="252"/>
      <c r="E87" s="252"/>
      <c r="F87" s="252"/>
      <c r="G87" s="252"/>
      <c r="H87" s="252"/>
    </row>
    <row r="88" spans="1:8" x14ac:dyDescent="0.45">
      <c r="A88" s="252"/>
      <c r="B88" s="252"/>
      <c r="C88" s="252"/>
      <c r="D88" s="252"/>
      <c r="E88" s="252"/>
      <c r="F88" s="252"/>
      <c r="G88" s="252"/>
      <c r="H88" s="252"/>
    </row>
    <row r="89" spans="1:8" x14ac:dyDescent="0.45">
      <c r="A89" s="252"/>
      <c r="B89" s="252"/>
      <c r="C89" s="252"/>
      <c r="D89" s="252"/>
      <c r="E89" s="252"/>
      <c r="F89" s="252"/>
      <c r="G89" s="252"/>
      <c r="H89" s="252"/>
    </row>
    <row r="90" spans="1:8" x14ac:dyDescent="0.45">
      <c r="A90" s="252"/>
      <c r="B90" s="252"/>
      <c r="C90" s="252"/>
      <c r="D90" s="252"/>
      <c r="E90" s="252"/>
      <c r="F90" s="252"/>
      <c r="G90" s="252"/>
    </row>
    <row r="91" spans="1:8" x14ac:dyDescent="0.45">
      <c r="A91" s="252"/>
      <c r="B91" s="252"/>
      <c r="C91" s="252"/>
      <c r="D91" s="252"/>
      <c r="E91" s="252"/>
      <c r="F91" s="252"/>
      <c r="G91" s="252"/>
    </row>
    <row r="92" spans="1:8" x14ac:dyDescent="0.45">
      <c r="A92" s="252"/>
      <c r="B92" s="252"/>
      <c r="C92" s="252"/>
      <c r="D92" s="252"/>
      <c r="E92" s="252"/>
      <c r="F92" s="252"/>
      <c r="G92" s="252"/>
    </row>
    <row r="93" spans="1:8" x14ac:dyDescent="0.45">
      <c r="A93" s="252"/>
      <c r="B93" s="252"/>
      <c r="C93" s="252"/>
      <c r="D93" s="252"/>
      <c r="E93" s="252"/>
      <c r="F93" s="252"/>
      <c r="G93" s="252"/>
    </row>
  </sheetData>
  <mergeCells count="3">
    <mergeCell ref="D16:F16"/>
    <mergeCell ref="D54:F54"/>
    <mergeCell ref="D72:F72"/>
  </mergeCells>
  <pageMargins left="0.70866141732283472" right="0.70866141732283472" top="0.74803149606299213"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5"/>
  <sheetViews>
    <sheetView workbookViewId="0">
      <selection activeCell="F3" sqref="F3"/>
    </sheetView>
  </sheetViews>
  <sheetFormatPr defaultRowHeight="12.6" x14ac:dyDescent="0.45"/>
  <cols>
    <col min="1" max="1" width="2.17578125" customWidth="1"/>
    <col min="2" max="2" width="8.29296875" customWidth="1"/>
    <col min="3" max="3" width="23.46875" customWidth="1"/>
    <col min="4" max="4" width="10.703125" customWidth="1"/>
    <col min="5" max="5" width="12.17578125" customWidth="1"/>
    <col min="6" max="6" width="14.8203125" customWidth="1"/>
    <col min="7" max="7" width="11.703125" customWidth="1"/>
    <col min="8" max="8" width="11.29296875" customWidth="1"/>
    <col min="9" max="9" width="11.703125" customWidth="1"/>
    <col min="10" max="10" width="10.703125" customWidth="1"/>
    <col min="11" max="11" width="11.29296875" customWidth="1"/>
    <col min="12" max="12" width="9.703125" customWidth="1"/>
    <col min="13" max="13" width="11.29296875" customWidth="1"/>
    <col min="14" max="14" width="23.703125" customWidth="1"/>
    <col min="15" max="15" width="7.703125" customWidth="1"/>
    <col min="16" max="16" width="9.46875" customWidth="1"/>
    <col min="17" max="17" width="13.703125" customWidth="1"/>
    <col min="18" max="18" width="11.703125" customWidth="1"/>
    <col min="19" max="19" width="8.703125" customWidth="1"/>
    <col min="20" max="20" width="11.703125" customWidth="1"/>
    <col min="21" max="21" width="10.703125" customWidth="1"/>
    <col min="22" max="22" width="11.29296875" customWidth="1"/>
  </cols>
  <sheetData>
    <row r="1" spans="1:14" ht="20.399999999999999" x14ac:dyDescent="0.75">
      <c r="A1" s="354" t="s">
        <v>324</v>
      </c>
      <c r="B1" s="355"/>
      <c r="C1" s="355"/>
      <c r="D1" s="355"/>
      <c r="E1" s="355"/>
      <c r="F1" s="355"/>
      <c r="G1" s="252"/>
      <c r="H1" s="252"/>
      <c r="I1" s="252"/>
      <c r="J1" s="252"/>
      <c r="K1" s="252"/>
      <c r="L1" s="252"/>
      <c r="M1" s="252"/>
      <c r="N1" s="252"/>
    </row>
    <row r="2" spans="1:14" x14ac:dyDescent="0.45">
      <c r="A2" s="252"/>
      <c r="B2" s="252"/>
      <c r="C2" s="252"/>
      <c r="D2" s="252"/>
      <c r="E2" s="252"/>
      <c r="F2" s="252"/>
      <c r="G2" s="252"/>
      <c r="H2" s="252"/>
      <c r="I2" s="252"/>
      <c r="J2" s="252"/>
      <c r="K2" s="252"/>
      <c r="L2" s="252"/>
      <c r="M2" s="252"/>
      <c r="N2" s="252"/>
    </row>
    <row r="3" spans="1:14" ht="18.3" x14ac:dyDescent="0.7">
      <c r="A3" s="252"/>
      <c r="B3" s="253" t="s">
        <v>91</v>
      </c>
      <c r="C3" s="252"/>
      <c r="D3" s="252"/>
      <c r="E3" s="252"/>
      <c r="F3" s="252"/>
      <c r="G3" s="252"/>
      <c r="H3" s="252"/>
      <c r="I3" s="252"/>
      <c r="J3" s="252"/>
      <c r="K3" s="252"/>
      <c r="L3" s="252"/>
      <c r="M3" s="252"/>
      <c r="N3" s="252"/>
    </row>
    <row r="4" spans="1:14" ht="15.6" x14ac:dyDescent="0.6">
      <c r="A4" s="252"/>
      <c r="B4" s="254"/>
      <c r="C4" s="255" t="s">
        <v>90</v>
      </c>
      <c r="D4" s="250">
        <f>'Step 1'!D11</f>
        <v>1000</v>
      </c>
      <c r="E4" s="255" t="s">
        <v>92</v>
      </c>
      <c r="F4" s="252"/>
      <c r="G4" s="252"/>
      <c r="H4" s="252"/>
      <c r="I4" s="252"/>
      <c r="J4" s="252"/>
      <c r="K4" s="252"/>
      <c r="L4" s="252"/>
      <c r="M4" s="252"/>
      <c r="N4" s="252"/>
    </row>
    <row r="5" spans="1:14" ht="15.6" x14ac:dyDescent="0.6">
      <c r="A5" s="252"/>
      <c r="B5" s="252"/>
      <c r="C5" s="255" t="s">
        <v>89</v>
      </c>
      <c r="D5" s="250">
        <f>'Step 1'!D12</f>
        <v>6000</v>
      </c>
      <c r="E5" s="255" t="s">
        <v>93</v>
      </c>
      <c r="F5" s="252"/>
      <c r="G5" s="252"/>
      <c r="H5" s="252"/>
      <c r="I5" s="252"/>
      <c r="J5" s="252"/>
      <c r="K5" s="252"/>
      <c r="L5" s="252"/>
      <c r="M5" s="252"/>
      <c r="N5" s="252"/>
    </row>
    <row r="6" spans="1:14" ht="15.6" x14ac:dyDescent="0.6">
      <c r="A6" s="252"/>
      <c r="B6" s="252"/>
      <c r="C6" s="255" t="s">
        <v>199</v>
      </c>
      <c r="D6" s="250">
        <f>'Step 1'!D12+'Step 1'!D13+'Step 1'!G14+'Step 1'!G17+'Step 1'!G20</f>
        <v>10185</v>
      </c>
      <c r="E6" s="284" t="s">
        <v>200</v>
      </c>
      <c r="F6" s="252"/>
      <c r="G6" s="252"/>
      <c r="H6" s="252"/>
      <c r="I6" s="252"/>
      <c r="J6" s="252"/>
      <c r="K6" s="252"/>
      <c r="L6" s="252"/>
      <c r="M6" s="252"/>
      <c r="N6" s="252"/>
    </row>
    <row r="7" spans="1:14" x14ac:dyDescent="0.45">
      <c r="A7" s="252"/>
      <c r="B7" s="252"/>
      <c r="C7" s="252"/>
      <c r="D7" s="252"/>
      <c r="E7" s="252"/>
      <c r="F7" s="252"/>
      <c r="G7" s="252"/>
      <c r="H7" s="252"/>
      <c r="I7" s="252"/>
      <c r="J7" s="252"/>
      <c r="K7" s="252"/>
      <c r="L7" s="252"/>
      <c r="M7" s="252"/>
      <c r="N7" s="252"/>
    </row>
    <row r="8" spans="1:14" ht="17.7" x14ac:dyDescent="0.6">
      <c r="A8" s="252"/>
      <c r="B8" s="256"/>
      <c r="C8" s="257"/>
      <c r="D8" s="257"/>
      <c r="E8" s="257"/>
      <c r="F8" s="257"/>
      <c r="G8" s="257"/>
      <c r="H8" s="257"/>
      <c r="I8" s="258" t="s">
        <v>46</v>
      </c>
      <c r="J8" s="258" t="s">
        <v>78</v>
      </c>
      <c r="K8" s="258" t="s">
        <v>87</v>
      </c>
      <c r="L8" s="252"/>
      <c r="M8" s="252"/>
      <c r="N8" s="252"/>
    </row>
    <row r="9" spans="1:14" ht="15.6" x14ac:dyDescent="0.6">
      <c r="A9" s="252"/>
      <c r="B9" s="66" t="s">
        <v>18</v>
      </c>
      <c r="C9" s="259"/>
      <c r="D9" s="259"/>
      <c r="E9" s="259"/>
      <c r="F9" s="259"/>
      <c r="G9" s="259"/>
      <c r="H9" s="259"/>
      <c r="I9" s="198" t="s">
        <v>48</v>
      </c>
      <c r="J9" s="198" t="s">
        <v>49</v>
      </c>
      <c r="K9" s="198" t="s">
        <v>50</v>
      </c>
      <c r="L9" s="252"/>
      <c r="M9" s="252"/>
      <c r="N9" s="252"/>
    </row>
    <row r="10" spans="1:14" ht="15.6" x14ac:dyDescent="0.6">
      <c r="A10" s="252"/>
      <c r="B10" s="260" t="s">
        <v>4</v>
      </c>
      <c r="C10" s="259"/>
      <c r="D10" s="259"/>
      <c r="E10" s="259"/>
      <c r="F10" s="259"/>
      <c r="G10" s="259"/>
      <c r="H10" s="259"/>
      <c r="I10" s="127"/>
      <c r="J10" s="127"/>
      <c r="K10" s="127"/>
      <c r="L10" s="252"/>
      <c r="M10" s="252"/>
      <c r="N10" s="252"/>
    </row>
    <row r="11" spans="1:14" ht="15.6" x14ac:dyDescent="0.6">
      <c r="A11" s="252"/>
      <c r="B11" s="260"/>
      <c r="C11" s="259" t="s">
        <v>129</v>
      </c>
      <c r="D11" s="261">
        <f>'Step 1'!D28</f>
        <v>6000</v>
      </c>
      <c r="E11" s="288" t="s">
        <v>201</v>
      </c>
      <c r="F11" s="289">
        <f>'Step 1'!F28</f>
        <v>4</v>
      </c>
      <c r="G11" s="291">
        <f>'Step 1'!G28</f>
        <v>9</v>
      </c>
      <c r="H11" s="264" t="s">
        <v>47</v>
      </c>
      <c r="I11" s="265">
        <f>D11*F11*G11</f>
        <v>216000</v>
      </c>
      <c r="J11" s="179">
        <f>I11/$D$5</f>
        <v>36</v>
      </c>
      <c r="K11" s="266">
        <f>I11/$D$4</f>
        <v>216</v>
      </c>
      <c r="L11" s="252"/>
      <c r="M11" s="252"/>
      <c r="N11" s="252"/>
    </row>
    <row r="12" spans="1:14" ht="15.6" x14ac:dyDescent="0.6">
      <c r="A12" s="252"/>
      <c r="B12" s="260"/>
      <c r="C12" s="259" t="s">
        <v>130</v>
      </c>
      <c r="D12" s="261">
        <f>'Step 1'!D29</f>
        <v>2500</v>
      </c>
      <c r="E12" s="288" t="s">
        <v>201</v>
      </c>
      <c r="F12" s="289">
        <f>'Step 1'!F29</f>
        <v>5</v>
      </c>
      <c r="G12" s="291">
        <f>'Step 1'!G29</f>
        <v>9</v>
      </c>
      <c r="H12" s="264" t="s">
        <v>47</v>
      </c>
      <c r="I12" s="265">
        <f t="shared" ref="I12:I14" si="0">D12*F12*G12</f>
        <v>112500</v>
      </c>
      <c r="J12" s="179">
        <f t="shared" ref="J12:J14" si="1">I12/$D$5</f>
        <v>18.75</v>
      </c>
      <c r="K12" s="266">
        <f t="shared" ref="K12:K14" si="2">I12/$D$4</f>
        <v>112.5</v>
      </c>
      <c r="L12" s="252"/>
      <c r="M12" s="252"/>
      <c r="N12" s="252"/>
    </row>
    <row r="13" spans="1:14" ht="15.6" x14ac:dyDescent="0.6">
      <c r="A13" s="252"/>
      <c r="B13" s="260"/>
      <c r="C13" s="259" t="s">
        <v>2</v>
      </c>
      <c r="D13" s="261">
        <f>'Step 1'!D30</f>
        <v>60</v>
      </c>
      <c r="E13" s="288" t="s">
        <v>201</v>
      </c>
      <c r="F13" s="289">
        <f>'Step 1'!F30</f>
        <v>6</v>
      </c>
      <c r="G13" s="291">
        <f>'Step 1'!G30</f>
        <v>9</v>
      </c>
      <c r="H13" s="264" t="s">
        <v>47</v>
      </c>
      <c r="I13" s="265">
        <f t="shared" si="0"/>
        <v>3240</v>
      </c>
      <c r="J13" s="179">
        <f t="shared" si="1"/>
        <v>0.54</v>
      </c>
      <c r="K13" s="266">
        <f t="shared" si="2"/>
        <v>3.24</v>
      </c>
      <c r="L13" s="252"/>
      <c r="M13" s="252"/>
      <c r="N13" s="252"/>
    </row>
    <row r="14" spans="1:14" ht="15.6" x14ac:dyDescent="0.6">
      <c r="A14" s="252"/>
      <c r="B14" s="260"/>
      <c r="C14" s="259" t="s">
        <v>138</v>
      </c>
      <c r="D14" s="285">
        <f>'Step 1'!D31</f>
        <v>1625</v>
      </c>
      <c r="E14" s="288" t="s">
        <v>201</v>
      </c>
      <c r="F14" s="290">
        <f>'Step 1'!F31</f>
        <v>0.8</v>
      </c>
      <c r="G14" s="292">
        <f>'Step 1'!G31</f>
        <v>9</v>
      </c>
      <c r="H14" s="286" t="s">
        <v>47</v>
      </c>
      <c r="I14" s="270">
        <f t="shared" si="0"/>
        <v>11700</v>
      </c>
      <c r="J14" s="271">
        <f t="shared" si="1"/>
        <v>1.95</v>
      </c>
      <c r="K14" s="272">
        <f t="shared" si="2"/>
        <v>11.7</v>
      </c>
      <c r="L14" s="252"/>
      <c r="M14" s="252"/>
      <c r="N14" s="252"/>
    </row>
    <row r="15" spans="1:14" ht="15.6" x14ac:dyDescent="0.6">
      <c r="A15" s="252"/>
      <c r="B15" s="260"/>
      <c r="C15" s="259"/>
      <c r="D15" s="261">
        <f>SUM(D11:D14)</f>
        <v>10185</v>
      </c>
      <c r="E15" s="288" t="s">
        <v>201</v>
      </c>
      <c r="F15" s="289">
        <f>'Step 1'!F32</f>
        <v>3.7466863033873343</v>
      </c>
      <c r="G15" s="291">
        <f>'Step 1'!G32</f>
        <v>9</v>
      </c>
      <c r="H15" s="264" t="s">
        <v>150</v>
      </c>
      <c r="I15" s="265">
        <f>SUM(I11:I14)</f>
        <v>343440</v>
      </c>
      <c r="J15" s="179">
        <f>SUM(J11:J14)</f>
        <v>57.24</v>
      </c>
      <c r="K15" s="266">
        <f>SUM(K11:K14)</f>
        <v>343.44</v>
      </c>
      <c r="L15" s="252"/>
      <c r="M15" s="252"/>
      <c r="N15" s="252"/>
    </row>
    <row r="16" spans="1:14" ht="15.6" x14ac:dyDescent="0.6">
      <c r="A16" s="252"/>
      <c r="B16" s="260" t="s">
        <v>22</v>
      </c>
      <c r="C16" s="259"/>
      <c r="D16" s="261"/>
      <c r="E16" s="259"/>
      <c r="F16" s="259"/>
      <c r="G16" s="259"/>
      <c r="H16" s="259"/>
      <c r="I16" s="265"/>
      <c r="J16" s="265"/>
      <c r="K16" s="265"/>
      <c r="L16" s="252"/>
      <c r="M16" s="252"/>
      <c r="N16" s="252"/>
    </row>
    <row r="17" spans="1:14" ht="15.6" x14ac:dyDescent="0.6">
      <c r="A17" s="252"/>
      <c r="B17" s="66"/>
      <c r="C17" s="267" t="s">
        <v>19</v>
      </c>
      <c r="D17" s="279">
        <f>'Step 1'!D34</f>
        <v>900</v>
      </c>
      <c r="E17" s="287" t="s">
        <v>201</v>
      </c>
      <c r="F17" s="293">
        <f>'Step 1'!F34</f>
        <v>40</v>
      </c>
      <c r="G17" s="259" t="s">
        <v>55</v>
      </c>
      <c r="H17" s="252"/>
      <c r="I17" s="265">
        <f>D17*F17</f>
        <v>36000</v>
      </c>
      <c r="J17" s="179">
        <f t="shared" ref="J17:J26" si="3">I17/$D$5</f>
        <v>6</v>
      </c>
      <c r="K17" s="266">
        <f t="shared" ref="K17:K26" si="4">I17/$D$4</f>
        <v>36</v>
      </c>
      <c r="L17" s="252"/>
      <c r="M17" s="252"/>
      <c r="N17" s="252"/>
    </row>
    <row r="18" spans="1:14" ht="15.6" x14ac:dyDescent="0.6">
      <c r="A18" s="252"/>
      <c r="B18" s="66"/>
      <c r="C18" s="267" t="s">
        <v>132</v>
      </c>
      <c r="D18" s="279">
        <f>'Step 1'!D35</f>
        <v>375</v>
      </c>
      <c r="E18" s="287" t="s">
        <v>201</v>
      </c>
      <c r="F18" s="293">
        <f>'Step 1'!F35</f>
        <v>40</v>
      </c>
      <c r="G18" s="259" t="s">
        <v>55</v>
      </c>
      <c r="H18" s="252"/>
      <c r="I18" s="265">
        <f>D18*F18</f>
        <v>15000</v>
      </c>
      <c r="J18" s="179">
        <f t="shared" ref="J18" si="5">I18/$D$5</f>
        <v>2.5</v>
      </c>
      <c r="K18" s="266">
        <f t="shared" ref="K18" si="6">I18/$D$4</f>
        <v>15</v>
      </c>
      <c r="L18" s="252"/>
      <c r="M18" s="252"/>
      <c r="N18" s="252"/>
    </row>
    <row r="19" spans="1:14" ht="15.6" x14ac:dyDescent="0.6">
      <c r="A19" s="252"/>
      <c r="B19" s="66"/>
      <c r="C19" s="267" t="s">
        <v>20</v>
      </c>
      <c r="D19" s="279">
        <f>'Step 1'!D36</f>
        <v>3775</v>
      </c>
      <c r="E19" s="287" t="s">
        <v>201</v>
      </c>
      <c r="F19" s="293">
        <f>'Step 1'!F36</f>
        <v>60</v>
      </c>
      <c r="G19" s="259" t="s">
        <v>55</v>
      </c>
      <c r="H19" s="252"/>
      <c r="I19" s="265">
        <f>D19*F19</f>
        <v>226500</v>
      </c>
      <c r="J19" s="179">
        <f t="shared" si="3"/>
        <v>37.75</v>
      </c>
      <c r="K19" s="266">
        <f t="shared" si="4"/>
        <v>226.5</v>
      </c>
      <c r="L19" s="252"/>
      <c r="M19" s="252"/>
      <c r="N19" s="252"/>
    </row>
    <row r="20" spans="1:14" ht="15.6" x14ac:dyDescent="0.6">
      <c r="A20" s="252"/>
      <c r="B20" s="66"/>
      <c r="C20" s="267" t="s">
        <v>21</v>
      </c>
      <c r="D20" s="294">
        <f>'Step 1'!D37</f>
        <v>12</v>
      </c>
      <c r="E20" s="287" t="s">
        <v>201</v>
      </c>
      <c r="F20" s="293">
        <f>'Step 1'!F37</f>
        <v>40</v>
      </c>
      <c r="G20" s="259" t="s">
        <v>55</v>
      </c>
      <c r="H20" s="252"/>
      <c r="I20" s="270">
        <f>D20*F20</f>
        <v>480</v>
      </c>
      <c r="J20" s="271">
        <f t="shared" si="3"/>
        <v>0.08</v>
      </c>
      <c r="K20" s="272">
        <f t="shared" si="4"/>
        <v>0.48</v>
      </c>
      <c r="L20" s="252"/>
      <c r="M20" s="252"/>
      <c r="N20" s="252"/>
    </row>
    <row r="21" spans="1:14" ht="15.6" x14ac:dyDescent="0.6">
      <c r="A21" s="252"/>
      <c r="B21" s="66"/>
      <c r="C21" s="267"/>
      <c r="D21" s="279">
        <f>SUM(D17:D20)</f>
        <v>5062</v>
      </c>
      <c r="E21" s="287" t="s">
        <v>201</v>
      </c>
      <c r="F21" s="268"/>
      <c r="G21" s="259"/>
      <c r="H21" s="259"/>
      <c r="I21" s="265">
        <f>SUM(I17:I20)</f>
        <v>277980</v>
      </c>
      <c r="J21" s="179">
        <f>I21/$D$5</f>
        <v>46.33</v>
      </c>
      <c r="K21" s="266">
        <f t="shared" si="4"/>
        <v>277.98</v>
      </c>
      <c r="L21" s="252"/>
      <c r="M21" s="252"/>
      <c r="N21" s="252"/>
    </row>
    <row r="22" spans="1:14" ht="15.6" x14ac:dyDescent="0.6">
      <c r="A22" s="252"/>
      <c r="B22" s="260" t="s">
        <v>28</v>
      </c>
      <c r="C22" s="273"/>
      <c r="D22" s="273"/>
      <c r="E22" s="268"/>
      <c r="F22" s="268"/>
      <c r="G22" s="259"/>
      <c r="H22" s="259"/>
      <c r="I22" s="265"/>
      <c r="J22" s="265"/>
      <c r="K22" s="265"/>
      <c r="L22" s="252"/>
      <c r="M22" s="252"/>
      <c r="N22" s="252"/>
    </row>
    <row r="23" spans="1:14" ht="15.6" x14ac:dyDescent="0.6">
      <c r="A23" s="252"/>
      <c r="B23" s="274"/>
      <c r="C23" s="267" t="s">
        <v>1</v>
      </c>
      <c r="D23" s="261" t="s">
        <v>99</v>
      </c>
      <c r="E23" s="268"/>
      <c r="F23" s="268"/>
      <c r="G23" s="259"/>
      <c r="H23" s="259"/>
      <c r="I23" s="266"/>
      <c r="J23" s="179"/>
      <c r="K23" s="266"/>
      <c r="L23" s="252"/>
      <c r="M23" s="252"/>
      <c r="N23" s="252"/>
    </row>
    <row r="24" spans="1:14" ht="15.6" x14ac:dyDescent="0.6">
      <c r="A24" s="252"/>
      <c r="B24" s="274"/>
      <c r="C24" s="267" t="s">
        <v>133</v>
      </c>
      <c r="D24" s="261" t="s">
        <v>202</v>
      </c>
      <c r="E24" s="268"/>
      <c r="F24" s="268"/>
      <c r="G24" s="259"/>
      <c r="H24" s="259"/>
      <c r="I24" s="266"/>
      <c r="J24" s="179"/>
      <c r="K24" s="266"/>
      <c r="L24" s="252"/>
      <c r="M24" s="252"/>
      <c r="N24" s="252"/>
    </row>
    <row r="25" spans="1:14" ht="15.6" x14ac:dyDescent="0.6">
      <c r="A25" s="252"/>
      <c r="B25" s="274"/>
      <c r="C25" s="267" t="s">
        <v>2</v>
      </c>
      <c r="D25" s="261">
        <f>'Step 1'!D42</f>
        <v>12</v>
      </c>
      <c r="E25" s="268" t="s">
        <v>57</v>
      </c>
      <c r="F25" s="269">
        <f>'Step 1'!F42</f>
        <v>800</v>
      </c>
      <c r="G25" s="259" t="s">
        <v>58</v>
      </c>
      <c r="H25" s="259"/>
      <c r="I25" s="272">
        <f>-D25*F25</f>
        <v>-9600</v>
      </c>
      <c r="J25" s="271">
        <f t="shared" si="3"/>
        <v>-1.6</v>
      </c>
      <c r="K25" s="272">
        <f t="shared" si="4"/>
        <v>-9.6</v>
      </c>
      <c r="L25" s="252"/>
      <c r="M25" s="252"/>
      <c r="N25" s="252"/>
    </row>
    <row r="26" spans="1:14" ht="15.6" x14ac:dyDescent="0.6">
      <c r="A26" s="252"/>
      <c r="B26" s="66"/>
      <c r="C26" s="273"/>
      <c r="D26" s="273"/>
      <c r="E26" s="273"/>
      <c r="F26" s="273"/>
      <c r="G26" s="273"/>
      <c r="H26" s="273"/>
      <c r="I26" s="266">
        <f>SUM(I23:I25)</f>
        <v>-9600</v>
      </c>
      <c r="J26" s="179">
        <f t="shared" si="3"/>
        <v>-1.6</v>
      </c>
      <c r="K26" s="266">
        <f t="shared" si="4"/>
        <v>-9.6</v>
      </c>
      <c r="L26" s="252"/>
      <c r="M26" s="252"/>
      <c r="N26" s="252"/>
    </row>
    <row r="27" spans="1:14" ht="15.6" x14ac:dyDescent="0.6">
      <c r="A27" s="252"/>
      <c r="B27" s="275" t="s">
        <v>0</v>
      </c>
      <c r="C27" s="257"/>
      <c r="D27" s="257"/>
      <c r="E27" s="257"/>
      <c r="F27" s="257"/>
      <c r="G27" s="257"/>
      <c r="H27" s="257"/>
      <c r="I27" s="276">
        <f>I15+I21+I26</f>
        <v>611820</v>
      </c>
      <c r="J27" s="276">
        <f t="shared" ref="J27:K27" si="7">J15+J21+J26</f>
        <v>101.97</v>
      </c>
      <c r="K27" s="276">
        <f t="shared" si="7"/>
        <v>611.82000000000005</v>
      </c>
      <c r="L27" s="252"/>
      <c r="M27" s="252"/>
      <c r="N27" s="252"/>
    </row>
    <row r="28" spans="1:14" ht="15.6" x14ac:dyDescent="0.6">
      <c r="A28" s="252"/>
      <c r="B28" s="66" t="s">
        <v>23</v>
      </c>
      <c r="C28" s="259"/>
      <c r="D28" s="259"/>
      <c r="E28" s="259"/>
      <c r="F28" s="259"/>
      <c r="G28" s="259"/>
      <c r="H28" s="259"/>
      <c r="I28" s="198" t="s">
        <v>48</v>
      </c>
      <c r="J28" s="198" t="s">
        <v>49</v>
      </c>
      <c r="K28" s="198" t="s">
        <v>50</v>
      </c>
      <c r="L28" s="252"/>
      <c r="M28" s="252"/>
      <c r="N28" s="252"/>
    </row>
    <row r="29" spans="1:14" ht="15.6" x14ac:dyDescent="0.6">
      <c r="A29" s="252"/>
      <c r="B29" s="260" t="s">
        <v>3</v>
      </c>
      <c r="C29" s="259"/>
      <c r="D29" s="259"/>
      <c r="E29" s="259"/>
      <c r="F29" s="259"/>
      <c r="G29" s="259"/>
      <c r="H29" s="259"/>
      <c r="L29" s="252"/>
      <c r="M29" s="252"/>
      <c r="N29" s="252"/>
    </row>
    <row r="30" spans="1:14" ht="15.6" x14ac:dyDescent="0.6">
      <c r="A30" s="252"/>
      <c r="B30" s="260"/>
      <c r="C30" s="259" t="s">
        <v>203</v>
      </c>
      <c r="D30" s="261">
        <f>'Step 1'!D47</f>
        <v>10185</v>
      </c>
      <c r="E30" s="262" t="str">
        <f>E11</f>
        <v xml:space="preserve"> hd</v>
      </c>
      <c r="F30" s="263">
        <f>'Step 1'!F47</f>
        <v>3.5</v>
      </c>
      <c r="G30" s="264" t="s">
        <v>204</v>
      </c>
      <c r="H30" s="259"/>
      <c r="I30" s="265">
        <f>CEILING(D30*F30,10)</f>
        <v>35650</v>
      </c>
      <c r="J30" s="179">
        <f>I30/$D$5</f>
        <v>5.9416666666666664</v>
      </c>
      <c r="K30" s="266">
        <f>I30/$D$4</f>
        <v>35.65</v>
      </c>
      <c r="L30" s="252"/>
      <c r="M30" s="252"/>
      <c r="N30" s="252"/>
    </row>
    <row r="31" spans="1:14" ht="15.6" x14ac:dyDescent="0.6">
      <c r="A31" s="252"/>
      <c r="B31" s="260"/>
      <c r="C31" s="259" t="s">
        <v>135</v>
      </c>
      <c r="D31" s="261">
        <f>'Step 1'!D48</f>
        <v>5400</v>
      </c>
      <c r="E31" s="262" t="str">
        <f>E12</f>
        <v xml:space="preserve"> hd</v>
      </c>
      <c r="F31" s="263">
        <f>'Step 1'!F48</f>
        <v>3.5</v>
      </c>
      <c r="G31" s="264" t="s">
        <v>204</v>
      </c>
      <c r="H31" s="259"/>
      <c r="I31" s="270">
        <f>CEILING(D31*F31,10)</f>
        <v>18900</v>
      </c>
      <c r="J31" s="271">
        <f>I31/$D$5</f>
        <v>3.15</v>
      </c>
      <c r="K31" s="272">
        <f>I31/$D$4</f>
        <v>18.899999999999999</v>
      </c>
      <c r="L31" s="252"/>
      <c r="M31" s="252"/>
      <c r="N31" s="252"/>
    </row>
    <row r="32" spans="1:14" ht="15.6" x14ac:dyDescent="0.6">
      <c r="A32" s="252"/>
      <c r="B32" s="260"/>
      <c r="C32" s="259"/>
      <c r="D32" s="261"/>
      <c r="E32" s="262"/>
      <c r="F32" s="263"/>
      <c r="G32" s="264"/>
      <c r="H32" s="259"/>
      <c r="I32" s="265">
        <f>SUM(I30:I31)</f>
        <v>54550</v>
      </c>
      <c r="J32" s="179">
        <f>SUM(J30:J31)</f>
        <v>9.0916666666666668</v>
      </c>
      <c r="K32" s="266">
        <f>SUM(K30:K31)</f>
        <v>54.55</v>
      </c>
      <c r="L32" s="252"/>
      <c r="M32" s="252"/>
      <c r="N32" s="252"/>
    </row>
    <row r="33" spans="1:14" ht="15.6" x14ac:dyDescent="0.6">
      <c r="A33" s="252"/>
      <c r="B33" s="260" t="s">
        <v>24</v>
      </c>
      <c r="C33" s="259"/>
      <c r="D33" s="261">
        <f>D30</f>
        <v>10185</v>
      </c>
      <c r="E33" s="262" t="str">
        <f>E30</f>
        <v xml:space="preserve"> hd</v>
      </c>
      <c r="F33" s="263">
        <f>'Step 1'!F50</f>
        <v>6.5</v>
      </c>
      <c r="G33" s="264" t="s">
        <v>204</v>
      </c>
      <c r="H33" s="259"/>
      <c r="I33" s="265">
        <f>CEILING(D33*F33,10)</f>
        <v>66210</v>
      </c>
      <c r="J33" s="179">
        <f t="shared" ref="J33:J36" si="8">I33/$D$5</f>
        <v>11.035</v>
      </c>
      <c r="K33" s="266">
        <f t="shared" ref="K33:K36" si="9">I33/$D$4</f>
        <v>66.209999999999994</v>
      </c>
      <c r="L33" s="252"/>
      <c r="M33" s="252"/>
      <c r="N33" s="252"/>
    </row>
    <row r="34" spans="1:14" ht="15.6" x14ac:dyDescent="0.6">
      <c r="A34" s="252"/>
      <c r="B34" s="260" t="s">
        <v>25</v>
      </c>
      <c r="C34" s="259"/>
      <c r="D34" s="279">
        <f>'Step 1'!D51</f>
        <v>224.47058823529412</v>
      </c>
      <c r="E34" s="262" t="s">
        <v>59</v>
      </c>
      <c r="F34" s="263">
        <f>'Step 1'!F51</f>
        <v>20</v>
      </c>
      <c r="G34" s="264" t="s">
        <v>60</v>
      </c>
      <c r="H34" s="259"/>
      <c r="I34" s="265">
        <f>CEILING(D34*F34,10)</f>
        <v>4490</v>
      </c>
      <c r="J34" s="179">
        <f t="shared" si="8"/>
        <v>0.74833333333333329</v>
      </c>
      <c r="K34" s="266">
        <f t="shared" si="9"/>
        <v>4.49</v>
      </c>
      <c r="L34" s="252"/>
      <c r="M34" s="252"/>
      <c r="N34" s="252"/>
    </row>
    <row r="35" spans="1:14" ht="15.6" x14ac:dyDescent="0.6">
      <c r="A35" s="252"/>
      <c r="B35" s="260" t="s">
        <v>26</v>
      </c>
      <c r="C35" s="259"/>
      <c r="D35" s="259"/>
      <c r="E35" s="259"/>
      <c r="F35" s="263">
        <f>'Step 1'!F52</f>
        <v>15</v>
      </c>
      <c r="G35" s="264" t="s">
        <v>60</v>
      </c>
      <c r="H35" s="259"/>
      <c r="I35" s="265">
        <f>CEILING(D34*F35,10)</f>
        <v>3370</v>
      </c>
      <c r="J35" s="179">
        <f t="shared" si="8"/>
        <v>0.56166666666666665</v>
      </c>
      <c r="K35" s="266">
        <f t="shared" si="9"/>
        <v>3.37</v>
      </c>
      <c r="L35" s="252"/>
      <c r="M35" s="252"/>
      <c r="N35" s="252"/>
    </row>
    <row r="36" spans="1:14" ht="15.6" x14ac:dyDescent="0.6">
      <c r="A36" s="252"/>
      <c r="B36" s="260" t="s">
        <v>27</v>
      </c>
      <c r="C36" s="259"/>
      <c r="D36" s="261">
        <f>D17+D18+D19+D20+D25</f>
        <v>5074</v>
      </c>
      <c r="E36" s="268" t="s">
        <v>57</v>
      </c>
      <c r="F36" s="263">
        <f>'Step 1'!F53</f>
        <v>2</v>
      </c>
      <c r="G36" s="264" t="s">
        <v>61</v>
      </c>
      <c r="H36" s="259"/>
      <c r="I36" s="265">
        <f>CEILING(D36*F36,10)</f>
        <v>10150</v>
      </c>
      <c r="J36" s="179">
        <f t="shared" si="8"/>
        <v>1.6916666666666667</v>
      </c>
      <c r="K36" s="266">
        <f t="shared" si="9"/>
        <v>10.15</v>
      </c>
      <c r="L36" s="252"/>
      <c r="M36" s="252"/>
      <c r="N36" s="252"/>
    </row>
    <row r="37" spans="1:14" ht="15.6" x14ac:dyDescent="0.6">
      <c r="A37" s="252"/>
      <c r="B37" s="275" t="s">
        <v>41</v>
      </c>
      <c r="C37" s="257"/>
      <c r="D37" s="257"/>
      <c r="E37" s="280"/>
      <c r="F37" s="257"/>
      <c r="G37" s="257"/>
      <c r="H37" s="257"/>
      <c r="I37" s="276">
        <f>SUM(I32:I36)</f>
        <v>138770</v>
      </c>
      <c r="J37" s="276">
        <f t="shared" ref="J37:K37" si="10">SUM(J32:J36)</f>
        <v>23.128333333333334</v>
      </c>
      <c r="K37" s="276">
        <f t="shared" si="10"/>
        <v>138.76999999999998</v>
      </c>
      <c r="L37" s="252"/>
      <c r="M37" s="252"/>
      <c r="N37" s="252"/>
    </row>
    <row r="38" spans="1:14" ht="15.6" x14ac:dyDescent="0.6">
      <c r="A38" s="252"/>
      <c r="B38" s="281" t="s">
        <v>62</v>
      </c>
      <c r="C38" s="257"/>
      <c r="D38" s="257"/>
      <c r="E38" s="280"/>
      <c r="F38" s="257"/>
      <c r="G38" s="257"/>
      <c r="H38" s="257"/>
      <c r="I38" s="276">
        <f>I27-I37</f>
        <v>473050</v>
      </c>
      <c r="J38" s="277">
        <f>J27-J37</f>
        <v>78.841666666666669</v>
      </c>
      <c r="K38" s="278">
        <f>K27-K37</f>
        <v>473.05000000000007</v>
      </c>
      <c r="L38" s="252"/>
      <c r="M38" s="252"/>
      <c r="N38" s="252"/>
    </row>
    <row r="39" spans="1:14" ht="15.6" x14ac:dyDescent="0.6">
      <c r="A39" s="252"/>
      <c r="B39" s="282"/>
      <c r="C39" s="255"/>
      <c r="D39" s="255"/>
      <c r="E39" s="255"/>
      <c r="F39" s="255"/>
      <c r="G39" s="255"/>
      <c r="H39" s="255"/>
      <c r="I39" s="255"/>
      <c r="J39" s="255"/>
      <c r="K39" s="255"/>
      <c r="L39" s="252"/>
      <c r="M39" s="252"/>
      <c r="N39" s="252"/>
    </row>
    <row r="40" spans="1:14" x14ac:dyDescent="0.45">
      <c r="A40" s="252"/>
      <c r="B40" s="252"/>
      <c r="C40" s="252"/>
      <c r="D40" s="252"/>
      <c r="E40" s="252"/>
      <c r="F40" s="252"/>
      <c r="G40" s="252"/>
      <c r="H40" s="252"/>
      <c r="I40" s="252"/>
      <c r="J40" s="252"/>
      <c r="K40" s="252"/>
      <c r="L40" s="252"/>
      <c r="M40" s="252"/>
      <c r="N40" s="252"/>
    </row>
    <row r="41" spans="1:14" ht="18.3" x14ac:dyDescent="0.7">
      <c r="A41" s="252"/>
      <c r="B41" s="253" t="s">
        <v>211</v>
      </c>
      <c r="C41" s="252"/>
      <c r="D41" s="255"/>
      <c r="E41" s="255"/>
      <c r="F41" s="255"/>
      <c r="G41" s="283"/>
      <c r="H41" s="283"/>
      <c r="I41" s="252"/>
      <c r="J41" s="252"/>
      <c r="K41" s="252"/>
      <c r="L41" s="252"/>
      <c r="M41" s="252"/>
      <c r="N41" s="252"/>
    </row>
    <row r="42" spans="1:14" ht="46.8" x14ac:dyDescent="0.5">
      <c r="A42" s="252"/>
      <c r="B42" s="342"/>
      <c r="C42" s="343" t="s">
        <v>7</v>
      </c>
      <c r="D42" s="344" t="s">
        <v>17</v>
      </c>
      <c r="E42" s="344" t="s">
        <v>98</v>
      </c>
      <c r="F42" s="344" t="s">
        <v>210</v>
      </c>
      <c r="G42" s="344" t="s">
        <v>143</v>
      </c>
      <c r="H42" s="344" t="s">
        <v>144</v>
      </c>
      <c r="I42" s="344" t="s">
        <v>227</v>
      </c>
      <c r="J42" s="344" t="s">
        <v>145</v>
      </c>
      <c r="K42" s="344" t="s">
        <v>220</v>
      </c>
      <c r="L42" s="345" t="s">
        <v>213</v>
      </c>
      <c r="M42" s="252"/>
    </row>
    <row r="43" spans="1:14" ht="15.6" x14ac:dyDescent="0.6">
      <c r="A43" s="252"/>
      <c r="B43" s="330" t="s">
        <v>8</v>
      </c>
      <c r="C43" s="134">
        <f>'Step 3'!E107</f>
        <v>0.25</v>
      </c>
      <c r="D43" s="331">
        <f>'Step 2'!$E36*(1-C$43)+('Step 2'!$G13*C$43)</f>
        <v>0.87750000000000006</v>
      </c>
      <c r="E43" s="332">
        <f>'Step 2'!$E37*(1-C$43)+('Step 2'!$G14*C$43)</f>
        <v>5.0625000000000003E-2</v>
      </c>
      <c r="F43" s="332">
        <f>'Step 2'!$E38*(1-C$43)+('Step 2'!$G15*C$43)</f>
        <v>2.0250000000000001E-2</v>
      </c>
      <c r="G43" s="333">
        <f>'Step 2'!$E39*(1-C$43)+('Step 2'!$G16*C$43)</f>
        <v>39</v>
      </c>
      <c r="H43" s="333">
        <f>'Step 2'!$E40*(1-C$43)+('Step 2'!$G17*C$43)</f>
        <v>39</v>
      </c>
      <c r="I43" s="333">
        <f>'Step 2'!$E41*(1-C$43)+('Step 2'!$G18*C$43)</f>
        <v>58.5</v>
      </c>
      <c r="J43" s="333">
        <f>'Step 2'!$E42*(1-C$43)+('Step 2'!$G19*C$43)</f>
        <v>39</v>
      </c>
      <c r="K43" s="334">
        <f>'Step 2'!$E43*(1-C$43)+('Step 2'!$G20*C$43)</f>
        <v>6.2010000000000005</v>
      </c>
      <c r="L43" s="333">
        <f>'Step 2'!$E44*(1-C$43)+('Step 2'!$G21*C$43)</f>
        <v>9.0562500000000004</v>
      </c>
      <c r="M43" s="252"/>
      <c r="N43" s="252"/>
    </row>
    <row r="44" spans="1:14" ht="15.6" x14ac:dyDescent="0.6">
      <c r="A44" s="252"/>
      <c r="B44" s="335" t="s">
        <v>9</v>
      </c>
      <c r="C44" s="138">
        <f>'Step 3'!E108</f>
        <v>0.2</v>
      </c>
      <c r="D44" s="135">
        <f>'Step 2'!$E36*(1-C$44)+('Step 2'!$G13*C$44)</f>
        <v>0.88200000000000012</v>
      </c>
      <c r="E44" s="336">
        <f>'Step 2'!$E37*(1-C$44)+('Step 2'!$G14*C$44)</f>
        <v>5.050000000000001E-2</v>
      </c>
      <c r="F44" s="336">
        <f>'Step 2'!$E38*(1-C$44)+('Step 2'!$G15*C$44)</f>
        <v>2.0200000000000003E-2</v>
      </c>
      <c r="G44" s="337">
        <f>'Step 2'!$E39*(1-C$44)+('Step 2'!$G16*C$44)</f>
        <v>39.200000000000003</v>
      </c>
      <c r="H44" s="337">
        <f>'Step 2'!$E40*(1-C$44)+('Step 2'!$G17*C$44)</f>
        <v>39.200000000000003</v>
      </c>
      <c r="I44" s="337">
        <f>'Step 2'!$E41*(1-C$44)+('Step 2'!$G18*C$44)</f>
        <v>58.8</v>
      </c>
      <c r="J44" s="337">
        <f>'Step 2'!$E42*(1-C$44)+('Step 2'!$G19*C$44)</f>
        <v>39.200000000000003</v>
      </c>
      <c r="K44" s="207">
        <f>'Step 2'!$E43*(1-C$44)+('Step 2'!$G20*C$44)</f>
        <v>6.232800000000001</v>
      </c>
      <c r="L44" s="337">
        <f>'Step 2'!$E44*(1-C$44)+('Step 2'!$G21*C$44)</f>
        <v>9.0449999999999999</v>
      </c>
      <c r="M44" s="252"/>
      <c r="N44" s="252"/>
    </row>
    <row r="45" spans="1:14" ht="15.6" x14ac:dyDescent="0.6">
      <c r="A45" s="252"/>
      <c r="B45" s="335" t="s">
        <v>10</v>
      </c>
      <c r="C45" s="138">
        <f>'Step 3'!E109</f>
        <v>0.15</v>
      </c>
      <c r="D45" s="135">
        <f>'Step 2'!$E36*(1-C$45)+('Step 2'!$G13*C$45)</f>
        <v>0.88650000000000007</v>
      </c>
      <c r="E45" s="336">
        <f>'Step 2'!$E37*(1-C$45)+('Step 2'!$G14*C$45)</f>
        <v>5.0375000000000003E-2</v>
      </c>
      <c r="F45" s="336">
        <f>'Step 2'!$E38*(1-C$45)+('Step 2'!$G15*C$45)</f>
        <v>2.0150000000000001E-2</v>
      </c>
      <c r="G45" s="337">
        <f>'Step 2'!$E39*(1-C$45)+('Step 2'!$G16*C$45)</f>
        <v>39.4</v>
      </c>
      <c r="H45" s="337">
        <f>'Step 2'!$E40*(1-C$45)+('Step 2'!$G17*C$45)</f>
        <v>39.4</v>
      </c>
      <c r="I45" s="337">
        <f>'Step 2'!$E41*(1-C$45)+('Step 2'!$G18*C$45)</f>
        <v>59.1</v>
      </c>
      <c r="J45" s="337">
        <f>'Step 2'!$E42*(1-C$45)+('Step 2'!$G19*C$45)</f>
        <v>39.4</v>
      </c>
      <c r="K45" s="207">
        <f>'Step 2'!$E43*(1-C$45)+('Step 2'!$G20*C$45)</f>
        <v>6.2645999999999997</v>
      </c>
      <c r="L45" s="337">
        <f>'Step 2'!$E44*(1-C$45)+('Step 2'!$G21*C$45)</f>
        <v>9.0337499999999995</v>
      </c>
      <c r="M45" s="252"/>
      <c r="N45" s="252"/>
    </row>
    <row r="46" spans="1:14" ht="15.6" x14ac:dyDescent="0.6">
      <c r="A46" s="252"/>
      <c r="B46" s="335" t="s">
        <v>11</v>
      </c>
      <c r="C46" s="138">
        <f>'Step 3'!E110</f>
        <v>0.1</v>
      </c>
      <c r="D46" s="135">
        <f>'Step 2'!$E36*(1-C$46)+('Step 2'!$G13*C$46)</f>
        <v>0.89100000000000001</v>
      </c>
      <c r="E46" s="336">
        <f>'Step 2'!$E37*(1-C$46)+('Step 2'!$G14*C$46)</f>
        <v>5.0250000000000003E-2</v>
      </c>
      <c r="F46" s="336">
        <f>'Step 2'!$E38*(1-C$46)+('Step 2'!$G15*C$46)</f>
        <v>2.0100000000000003E-2</v>
      </c>
      <c r="G46" s="337">
        <f>'Step 2'!$E39*(1-C$46)+('Step 2'!$G16*C$46)</f>
        <v>39.6</v>
      </c>
      <c r="H46" s="337">
        <f>'Step 2'!$E40*(1-C$46)+('Step 2'!$G17*C$46)</f>
        <v>39.6</v>
      </c>
      <c r="I46" s="337">
        <f>'Step 2'!$E41*(1-C$46)+('Step 2'!$G18*C$46)</f>
        <v>59.4</v>
      </c>
      <c r="J46" s="337">
        <f>'Step 2'!$E42*(1-C$46)+('Step 2'!$G19*C$46)</f>
        <v>39.6</v>
      </c>
      <c r="K46" s="207">
        <f>'Step 2'!$E43*(1-C$46)+('Step 2'!$G20*C$46)</f>
        <v>6.2964000000000002</v>
      </c>
      <c r="L46" s="337">
        <f>'Step 2'!$E44*(1-C$46)+('Step 2'!$G21*C$46)</f>
        <v>9.0224999999999991</v>
      </c>
      <c r="M46" s="252"/>
      <c r="N46" s="252"/>
    </row>
    <row r="47" spans="1:14" ht="15.6" x14ac:dyDescent="0.6">
      <c r="A47" s="252"/>
      <c r="B47" s="335" t="s">
        <v>6</v>
      </c>
      <c r="C47" s="138">
        <f>'Step 3'!E111</f>
        <v>0.1</v>
      </c>
      <c r="D47" s="135">
        <f>'Step 2'!$E36*(1-C$47)+('Step 2'!$G13*C$47)</f>
        <v>0.89100000000000001</v>
      </c>
      <c r="E47" s="336">
        <f>'Step 2'!$E37*(1-C$47)+('Step 2'!$G14*C$47)</f>
        <v>5.0250000000000003E-2</v>
      </c>
      <c r="F47" s="336">
        <f>'Step 2'!$E38*(1-C$47)+('Step 2'!$G15*C$47)</f>
        <v>2.0100000000000003E-2</v>
      </c>
      <c r="G47" s="337">
        <f>'Step 2'!$E39*(1-C$47)+('Step 2'!$G16*C$47)</f>
        <v>39.6</v>
      </c>
      <c r="H47" s="337">
        <f>'Step 2'!$E40*(1-C$47)+('Step 2'!$G17*C$47)</f>
        <v>39.6</v>
      </c>
      <c r="I47" s="337">
        <f>'Step 2'!$E41*(1-C$47)+('Step 2'!$G18*C$47)</f>
        <v>59.4</v>
      </c>
      <c r="J47" s="337">
        <f>'Step 2'!$E42*(1-C$47)+('Step 2'!$G19*C$47)</f>
        <v>39.6</v>
      </c>
      <c r="K47" s="207">
        <f>'Step 2'!$E43*(1-C$47)+('Step 2'!$G20*C$47)</f>
        <v>6.2964000000000002</v>
      </c>
      <c r="L47" s="337">
        <f>'Step 2'!$E44*(1-C$47)+('Step 2'!$G21*C$47)</f>
        <v>9.0224999999999991</v>
      </c>
      <c r="M47" s="252"/>
      <c r="N47" s="252"/>
    </row>
    <row r="48" spans="1:14" ht="15.6" x14ac:dyDescent="0.6">
      <c r="A48" s="252"/>
      <c r="B48" s="335" t="s">
        <v>12</v>
      </c>
      <c r="C48" s="138">
        <f>'Step 3'!E112</f>
        <v>0.1</v>
      </c>
      <c r="D48" s="135">
        <f>'Step 2'!$E36*(1-C$48)+('Step 2'!$G13*C$48)</f>
        <v>0.89100000000000001</v>
      </c>
      <c r="E48" s="336">
        <f>'Step 2'!$E37*(1-C$48)+('Step 2'!$G14*C$48)</f>
        <v>5.0250000000000003E-2</v>
      </c>
      <c r="F48" s="336">
        <f>'Step 2'!$E38*(1-C$48)+('Step 2'!$G15*C$48)</f>
        <v>2.0100000000000003E-2</v>
      </c>
      <c r="G48" s="337">
        <f>'Step 2'!$E39*(1-C$48)+('Step 2'!$G16*C$48)</f>
        <v>39.6</v>
      </c>
      <c r="H48" s="337">
        <f>'Step 2'!$E40*(1-C$48)+('Step 2'!$G17*C$48)</f>
        <v>39.6</v>
      </c>
      <c r="I48" s="337">
        <f>'Step 2'!$E41*(1-C$48)+('Step 2'!$G18*C$48)</f>
        <v>59.4</v>
      </c>
      <c r="J48" s="337">
        <f>'Step 2'!$E42*(1-C$48)+('Step 2'!$G19*C$48)</f>
        <v>39.6</v>
      </c>
      <c r="K48" s="207">
        <f>'Step 2'!$E43*(1-C$48)+('Step 2'!$G20*C$48)</f>
        <v>6.2964000000000002</v>
      </c>
      <c r="L48" s="337">
        <f>'Step 2'!$E44*(1-C$48)+('Step 2'!$G21*C$48)</f>
        <v>9.0224999999999991</v>
      </c>
      <c r="M48" s="252"/>
      <c r="N48" s="252"/>
    </row>
    <row r="49" spans="1:14" ht="15.6" x14ac:dyDescent="0.6">
      <c r="A49" s="252"/>
      <c r="B49" s="335" t="s">
        <v>13</v>
      </c>
      <c r="C49" s="138">
        <f>'Step 3'!E113</f>
        <v>0.1</v>
      </c>
      <c r="D49" s="135">
        <f>'Step 2'!$E36*(1-C$49)+('Step 2'!$G13*C$49)</f>
        <v>0.89100000000000001</v>
      </c>
      <c r="E49" s="336">
        <f>'Step 2'!$E37*(1-C$49)+('Step 2'!$G14*C$49)</f>
        <v>5.0250000000000003E-2</v>
      </c>
      <c r="F49" s="336">
        <f>'Step 2'!$E38*(1-C$49)+('Step 2'!$G15*C$49)</f>
        <v>2.0100000000000003E-2</v>
      </c>
      <c r="G49" s="337">
        <f>'Step 2'!$E39*(1-C$49)+('Step 2'!$G16*C$49)</f>
        <v>39.6</v>
      </c>
      <c r="H49" s="337">
        <f>'Step 2'!$E40*(1-C$49)+('Step 2'!$G17*C$49)</f>
        <v>39.6</v>
      </c>
      <c r="I49" s="337">
        <f>'Step 2'!$E41*(1-C$49)+('Step 2'!$G18*C$49)</f>
        <v>59.4</v>
      </c>
      <c r="J49" s="337">
        <f>'Step 2'!$E42*(1-C$49)+('Step 2'!$G19*C$49)</f>
        <v>39.6</v>
      </c>
      <c r="K49" s="207">
        <f>'Step 2'!$E43*(1-C$49)+('Step 2'!$G20*C$49)</f>
        <v>6.2964000000000002</v>
      </c>
      <c r="L49" s="337">
        <f>'Step 2'!$E44*(1-C$49)+('Step 2'!$G21*C$49)</f>
        <v>9.0224999999999991</v>
      </c>
      <c r="M49" s="252"/>
      <c r="N49" s="252"/>
    </row>
    <row r="50" spans="1:14" ht="15.6" x14ac:dyDescent="0.6">
      <c r="A50" s="252"/>
      <c r="B50" s="335" t="s">
        <v>14</v>
      </c>
      <c r="C50" s="138">
        <f>'Step 3'!E114</f>
        <v>0.1</v>
      </c>
      <c r="D50" s="135">
        <f>'Step 2'!$E36*(1-C$50)+('Step 2'!$G13*C$50)</f>
        <v>0.89100000000000001</v>
      </c>
      <c r="E50" s="336">
        <f>'Step 2'!$E37*(1-C$50)+('Step 2'!$G14*C$50)</f>
        <v>5.0250000000000003E-2</v>
      </c>
      <c r="F50" s="336">
        <f>'Step 2'!$E38*(1-C$50)+('Step 2'!$G15*C$50)</f>
        <v>2.0100000000000003E-2</v>
      </c>
      <c r="G50" s="337">
        <f>'Step 2'!$E39*(1-C$50)+('Step 2'!$G16*C$50)</f>
        <v>39.6</v>
      </c>
      <c r="H50" s="337">
        <f>'Step 2'!$E40*(1-C$50)+('Step 2'!$G17*C$50)</f>
        <v>39.6</v>
      </c>
      <c r="I50" s="337">
        <f>'Step 2'!$E41*(1-C$50)+('Step 2'!$G18*C$50)</f>
        <v>59.4</v>
      </c>
      <c r="J50" s="337">
        <f>'Step 2'!$E42*(1-C$50)+('Step 2'!$G19*C$50)</f>
        <v>39.6</v>
      </c>
      <c r="K50" s="207">
        <f>'Step 2'!$E43*(1-C$50)+('Step 2'!$G20*C$50)</f>
        <v>6.2964000000000002</v>
      </c>
      <c r="L50" s="337">
        <f>'Step 2'!$E44*(1-C$50)+('Step 2'!$G21*C$50)</f>
        <v>9.0224999999999991</v>
      </c>
      <c r="M50" s="252"/>
      <c r="N50" s="252"/>
    </row>
    <row r="51" spans="1:14" ht="15.6" x14ac:dyDescent="0.6">
      <c r="A51" s="252"/>
      <c r="B51" s="335" t="s">
        <v>15</v>
      </c>
      <c r="C51" s="138">
        <f>'Step 3'!E115</f>
        <v>0.1</v>
      </c>
      <c r="D51" s="135">
        <f>'Step 2'!$E36*(1-C$51)+('Step 2'!$G13*C$51)</f>
        <v>0.89100000000000001</v>
      </c>
      <c r="E51" s="336">
        <f>'Step 2'!$E37*(1-C$51)+('Step 2'!$G14*C$51)</f>
        <v>5.0250000000000003E-2</v>
      </c>
      <c r="F51" s="336">
        <f>'Step 2'!$E38*(1-C$51)+('Step 2'!$G15*C$51)</f>
        <v>2.0100000000000003E-2</v>
      </c>
      <c r="G51" s="337">
        <f>'Step 2'!$E39*(1-C$51)+('Step 2'!$G16*C$51)</f>
        <v>39.6</v>
      </c>
      <c r="H51" s="337">
        <f>'Step 2'!$E40*(1-C$51)+('Step 2'!$G17*C$51)</f>
        <v>39.6</v>
      </c>
      <c r="I51" s="337">
        <f>'Step 2'!$E41*(1-C$51)+('Step 2'!$G18*C$51)</f>
        <v>59.4</v>
      </c>
      <c r="J51" s="337">
        <f>'Step 2'!$E42*(1-C$51)+('Step 2'!$G19*C$51)</f>
        <v>39.6</v>
      </c>
      <c r="K51" s="207">
        <f>'Step 2'!$E43*(1-C$51)+('Step 2'!$G20*C$51)</f>
        <v>6.2964000000000002</v>
      </c>
      <c r="L51" s="337">
        <f>'Step 2'!$E44*(1-C$51)+('Step 2'!$G21*C$51)</f>
        <v>9.0224999999999991</v>
      </c>
      <c r="M51" s="252"/>
      <c r="N51" s="252"/>
    </row>
    <row r="52" spans="1:14" ht="15.6" x14ac:dyDescent="0.6">
      <c r="A52" s="252"/>
      <c r="B52" s="338" t="s">
        <v>16</v>
      </c>
      <c r="C52" s="139">
        <f>'Step 3'!E116</f>
        <v>0.1</v>
      </c>
      <c r="D52" s="339">
        <f>'Step 2'!$E36*(1-C$52)+('Step 2'!$G13*C$52)</f>
        <v>0.89100000000000001</v>
      </c>
      <c r="E52" s="340">
        <f>'Step 2'!$E37*(1-C$52)+('Step 2'!$G14*C$52)</f>
        <v>5.0250000000000003E-2</v>
      </c>
      <c r="F52" s="340">
        <f>'Step 2'!$E38*(1-C$52)+('Step 2'!$G15*C$52)</f>
        <v>2.0100000000000003E-2</v>
      </c>
      <c r="G52" s="341">
        <f>'Step 2'!$E39*(1-C$52)+('Step 2'!$G16*C$52)</f>
        <v>39.6</v>
      </c>
      <c r="H52" s="341">
        <f>'Step 2'!$E40*(1-C$52)+('Step 2'!$G17*C$52)</f>
        <v>39.6</v>
      </c>
      <c r="I52" s="341">
        <f>'Step 2'!$E41*(1-C$52)+('Step 2'!$G18*C$52)</f>
        <v>59.4</v>
      </c>
      <c r="J52" s="341">
        <f>'Step 2'!$E42*(1-C$52)+('Step 2'!$G19*C$52)</f>
        <v>39.6</v>
      </c>
      <c r="K52" s="209">
        <f>'Step 2'!$E43*(1-C$52)+('Step 2'!$G20*C$52)</f>
        <v>6.2964000000000002</v>
      </c>
      <c r="L52" s="341">
        <f>'Step 2'!$E44*(1-C$52)+('Step 2'!$G21*C$52)</f>
        <v>9.0224999999999991</v>
      </c>
      <c r="M52" s="252"/>
      <c r="N52" s="252"/>
    </row>
    <row r="53" spans="1:14" ht="15.3" x14ac:dyDescent="0.55000000000000004">
      <c r="A53" s="252"/>
      <c r="B53" s="252"/>
      <c r="C53" s="252"/>
      <c r="D53" s="252"/>
      <c r="E53" s="252"/>
      <c r="F53" s="252"/>
      <c r="G53" s="252"/>
      <c r="H53" s="283"/>
      <c r="I53" s="252"/>
      <c r="J53" s="252"/>
      <c r="K53" s="252"/>
      <c r="L53" s="252"/>
      <c r="M53" s="252"/>
      <c r="N53" s="252"/>
    </row>
    <row r="54" spans="1:14" x14ac:dyDescent="0.45">
      <c r="A54" s="252"/>
      <c r="B54" s="252"/>
      <c r="C54" s="252"/>
      <c r="D54" s="252"/>
      <c r="E54" s="252"/>
      <c r="F54" s="252"/>
      <c r="G54" s="252"/>
      <c r="H54" s="252"/>
      <c r="I54" s="252"/>
      <c r="J54" s="252"/>
      <c r="K54" s="252"/>
      <c r="L54" s="252"/>
      <c r="M54" s="252"/>
      <c r="N54" s="252"/>
    </row>
    <row r="55" spans="1:14" x14ac:dyDescent="0.45">
      <c r="A55" s="252"/>
      <c r="B55" s="252"/>
      <c r="C55" s="252"/>
      <c r="D55" s="252"/>
      <c r="E55" s="252"/>
      <c r="F55" s="252"/>
      <c r="G55" s="252"/>
      <c r="H55" s="252"/>
      <c r="I55" s="252"/>
      <c r="J55" s="252"/>
      <c r="K55" s="252"/>
      <c r="L55" s="252"/>
      <c r="M55" s="252"/>
      <c r="N55" s="252"/>
    </row>
    <row r="56" spans="1:14" ht="18.3" x14ac:dyDescent="0.7">
      <c r="A56" s="252"/>
      <c r="B56" s="253" t="s">
        <v>221</v>
      </c>
      <c r="C56" s="252"/>
      <c r="D56" s="252"/>
      <c r="E56" s="252"/>
      <c r="F56" s="252"/>
      <c r="G56" s="252"/>
      <c r="H56" s="252"/>
      <c r="I56" s="252"/>
      <c r="J56" s="252"/>
      <c r="K56" s="252"/>
      <c r="L56" s="252"/>
      <c r="M56" s="252"/>
      <c r="N56" s="252"/>
    </row>
    <row r="57" spans="1:14" ht="17.7" x14ac:dyDescent="0.6">
      <c r="A57" s="252"/>
      <c r="B57" s="256"/>
      <c r="C57" s="257"/>
      <c r="D57" s="257"/>
      <c r="E57" s="257"/>
      <c r="F57" s="257"/>
      <c r="G57" s="257"/>
      <c r="H57" s="257"/>
      <c r="I57" s="258" t="s">
        <v>46</v>
      </c>
      <c r="J57" s="258" t="s">
        <v>78</v>
      </c>
      <c r="K57" s="258" t="s">
        <v>87</v>
      </c>
      <c r="L57" s="252"/>
      <c r="M57" s="252"/>
      <c r="N57" s="252"/>
    </row>
    <row r="58" spans="1:14" ht="15.6" x14ac:dyDescent="0.6">
      <c r="A58" s="252"/>
      <c r="B58" s="66" t="s">
        <v>18</v>
      </c>
      <c r="C58" s="259"/>
      <c r="D58" s="259"/>
      <c r="E58" s="259"/>
      <c r="F58" s="259"/>
      <c r="G58" s="259"/>
      <c r="H58" s="259"/>
      <c r="I58" s="198" t="s">
        <v>48</v>
      </c>
      <c r="J58" s="198" t="s">
        <v>49</v>
      </c>
      <c r="K58" s="198" t="s">
        <v>50</v>
      </c>
      <c r="L58" s="252"/>
      <c r="M58" s="252"/>
      <c r="N58" s="252"/>
    </row>
    <row r="59" spans="1:14" ht="15.6" x14ac:dyDescent="0.6">
      <c r="A59" s="252"/>
      <c r="B59" s="260" t="s">
        <v>4</v>
      </c>
      <c r="C59" s="259"/>
      <c r="D59" s="261">
        <f>$D$11</f>
        <v>6000</v>
      </c>
      <c r="E59" s="288" t="s">
        <v>212</v>
      </c>
      <c r="F59" s="348">
        <f>'Step 2'!F43</f>
        <v>6.2010000000000005</v>
      </c>
      <c r="G59" s="263">
        <f>L43</f>
        <v>9.0562500000000004</v>
      </c>
      <c r="H59" s="264" t="s">
        <v>47</v>
      </c>
      <c r="I59" s="265">
        <f>CEILING(D59*F59*G59,10)</f>
        <v>336950</v>
      </c>
      <c r="J59" s="179">
        <f>I59/$D$5</f>
        <v>56.158333333333331</v>
      </c>
      <c r="K59" s="266">
        <f>I59/$D$4</f>
        <v>336.95</v>
      </c>
      <c r="L59" s="252"/>
      <c r="M59" s="252"/>
      <c r="N59" s="252"/>
    </row>
    <row r="60" spans="1:14" ht="15.6" x14ac:dyDescent="0.6">
      <c r="A60" s="252"/>
      <c r="B60" s="260"/>
      <c r="C60" s="259"/>
      <c r="D60" s="261"/>
      <c r="E60" s="314" t="s">
        <v>214</v>
      </c>
      <c r="F60" s="289"/>
      <c r="G60" s="263"/>
      <c r="H60" s="264"/>
      <c r="I60" s="265"/>
      <c r="J60" s="179"/>
      <c r="K60" s="266"/>
      <c r="L60" s="252"/>
      <c r="M60" s="252"/>
      <c r="N60" s="252"/>
    </row>
    <row r="61" spans="1:14" ht="15.6" x14ac:dyDescent="0.6">
      <c r="A61" s="252"/>
      <c r="B61" s="260" t="s">
        <v>22</v>
      </c>
      <c r="C61" s="259"/>
      <c r="D61" s="261"/>
      <c r="E61" s="327" t="s">
        <v>225</v>
      </c>
      <c r="F61" s="259"/>
      <c r="G61" s="259"/>
      <c r="H61" s="259"/>
      <c r="I61" s="265"/>
      <c r="J61" s="265"/>
      <c r="K61" s="265"/>
      <c r="L61" s="252"/>
      <c r="M61" s="252"/>
      <c r="N61" s="252"/>
    </row>
    <row r="62" spans="1:14" ht="15.6" x14ac:dyDescent="0.6">
      <c r="A62" s="252"/>
      <c r="B62" s="66"/>
      <c r="C62" s="267" t="s">
        <v>19</v>
      </c>
      <c r="D62" s="261">
        <f>D$17+D$11*'Step 3'!E139</f>
        <v>930</v>
      </c>
      <c r="E62" s="328">
        <f>-(D$17-D62)/D$17</f>
        <v>3.3333333333333333E-2</v>
      </c>
      <c r="F62" s="346">
        <f>G43</f>
        <v>39</v>
      </c>
      <c r="G62" s="259" t="s">
        <v>55</v>
      </c>
      <c r="H62" s="252"/>
      <c r="I62" s="265">
        <f>CEILING(D62*F62,10)</f>
        <v>36270</v>
      </c>
      <c r="J62" s="179">
        <f t="shared" ref="J62:J77" si="11">I62/$D$5</f>
        <v>6.0449999999999999</v>
      </c>
      <c r="K62" s="266">
        <f t="shared" ref="K62:K72" si="12">I62/$D$4</f>
        <v>36.270000000000003</v>
      </c>
      <c r="L62" s="252"/>
      <c r="M62" s="252"/>
      <c r="N62" s="252"/>
    </row>
    <row r="63" spans="1:14" ht="15.6" x14ac:dyDescent="0.6">
      <c r="A63" s="252"/>
      <c r="B63" s="66"/>
      <c r="C63" s="267" t="s">
        <v>215</v>
      </c>
      <c r="D63" s="261">
        <f>D$18+D$12*'Step 3'!E139</f>
        <v>387.5</v>
      </c>
      <c r="E63" s="328">
        <f>-(D$18-D63)/D$18</f>
        <v>3.3333333333333333E-2</v>
      </c>
      <c r="F63" s="346">
        <f>H43</f>
        <v>39</v>
      </c>
      <c r="G63" s="259" t="s">
        <v>55</v>
      </c>
      <c r="H63" s="252"/>
      <c r="I63" s="265">
        <f>CEILING(D63*F63,10)</f>
        <v>15120</v>
      </c>
      <c r="J63" s="179">
        <f t="shared" ref="J63" si="13">I63/$D$5</f>
        <v>2.52</v>
      </c>
      <c r="K63" s="266">
        <f t="shared" ref="K63" si="14">I63/$D$4</f>
        <v>15.12</v>
      </c>
      <c r="L63" s="252"/>
      <c r="M63" s="252"/>
      <c r="N63" s="252"/>
    </row>
    <row r="64" spans="1:14" ht="15.6" x14ac:dyDescent="0.6">
      <c r="A64" s="252"/>
      <c r="B64" s="66"/>
      <c r="C64" s="267" t="s">
        <v>20</v>
      </c>
      <c r="D64" s="261"/>
      <c r="E64" s="326"/>
      <c r="F64" s="347"/>
      <c r="G64" s="252"/>
      <c r="H64" s="252"/>
      <c r="I64" s="127"/>
      <c r="J64" s="127"/>
      <c r="K64" s="127"/>
      <c r="L64" s="252"/>
      <c r="M64" s="252"/>
      <c r="N64" s="252"/>
    </row>
    <row r="65" spans="1:14" ht="15.6" x14ac:dyDescent="0.6">
      <c r="A65" s="252"/>
      <c r="B65" s="66"/>
      <c r="C65" s="273" t="s">
        <v>216</v>
      </c>
      <c r="D65" s="261">
        <f>D$59*D43</f>
        <v>5265</v>
      </c>
      <c r="E65" s="326"/>
      <c r="F65" s="263"/>
      <c r="G65" s="259"/>
      <c r="H65" s="252"/>
      <c r="I65" s="265"/>
      <c r="J65" s="179"/>
      <c r="K65" s="266"/>
      <c r="L65" s="252"/>
      <c r="M65" s="252"/>
      <c r="N65" s="252"/>
    </row>
    <row r="66" spans="1:14" ht="15.6" x14ac:dyDescent="0.6">
      <c r="A66" s="252"/>
      <c r="B66" s="66"/>
      <c r="C66" s="273" t="s">
        <v>98</v>
      </c>
      <c r="D66" s="261">
        <f>-D$11*E43</f>
        <v>-303.75</v>
      </c>
      <c r="E66" s="326"/>
      <c r="F66" s="263"/>
      <c r="G66" s="259"/>
      <c r="H66" s="252"/>
      <c r="I66" s="265"/>
      <c r="J66" s="179"/>
      <c r="K66" s="266"/>
      <c r="L66" s="252"/>
      <c r="M66" s="252"/>
      <c r="N66" s="252"/>
    </row>
    <row r="67" spans="1:14" ht="15.6" x14ac:dyDescent="0.6">
      <c r="A67" s="252"/>
      <c r="B67" s="66"/>
      <c r="C67" s="273" t="s">
        <v>222</v>
      </c>
      <c r="D67" s="261">
        <f>-D62</f>
        <v>-930</v>
      </c>
      <c r="E67" s="326"/>
      <c r="F67" s="263"/>
      <c r="G67" s="259"/>
      <c r="H67" s="252"/>
      <c r="I67" s="265"/>
      <c r="J67" s="179"/>
      <c r="K67" s="266"/>
      <c r="L67" s="252"/>
      <c r="M67" s="252"/>
      <c r="N67" s="252"/>
    </row>
    <row r="68" spans="1:14" ht="15.6" x14ac:dyDescent="0.6">
      <c r="A68" s="252"/>
      <c r="B68" s="66"/>
      <c r="C68" s="273" t="s">
        <v>210</v>
      </c>
      <c r="D68" s="261">
        <f>-D$12*F43</f>
        <v>-50.625</v>
      </c>
      <c r="E68" s="326"/>
      <c r="F68" s="263"/>
      <c r="G68" s="259"/>
      <c r="H68" s="252"/>
      <c r="I68" s="265"/>
      <c r="J68" s="179"/>
      <c r="K68" s="266"/>
      <c r="L68" s="252"/>
      <c r="M68" s="252"/>
      <c r="N68" s="252"/>
    </row>
    <row r="69" spans="1:14" ht="15.6" x14ac:dyDescent="0.6">
      <c r="A69" s="252"/>
      <c r="B69" s="66"/>
      <c r="C69" s="273" t="s">
        <v>217</v>
      </c>
      <c r="D69" s="285">
        <f>-D63</f>
        <v>-387.5</v>
      </c>
      <c r="E69" s="326"/>
      <c r="F69" s="263"/>
      <c r="G69" s="259"/>
      <c r="H69" s="252"/>
      <c r="I69" s="265"/>
      <c r="J69" s="179"/>
      <c r="K69" s="266"/>
      <c r="L69" s="252"/>
      <c r="M69" s="252"/>
      <c r="N69" s="252"/>
    </row>
    <row r="70" spans="1:14" ht="15.6" x14ac:dyDescent="0.6">
      <c r="A70" s="252"/>
      <c r="B70" s="66"/>
      <c r="C70" s="267"/>
      <c r="D70" s="261">
        <f>SUM(D65:D69)</f>
        <v>3593.125</v>
      </c>
      <c r="E70" s="329">
        <f>-(D$19-D70)/D$19</f>
        <v>-4.8178807947019869E-2</v>
      </c>
      <c r="F70" s="263">
        <f>I43</f>
        <v>58.5</v>
      </c>
      <c r="G70" s="259" t="s">
        <v>55</v>
      </c>
      <c r="H70" s="252"/>
      <c r="I70" s="265">
        <f>D70*F70</f>
        <v>210197.8125</v>
      </c>
      <c r="J70" s="179">
        <f>I70/$D$5</f>
        <v>35.032968750000002</v>
      </c>
      <c r="K70" s="266">
        <f>I70/$D$4</f>
        <v>210.1978125</v>
      </c>
      <c r="L70" s="252"/>
      <c r="M70" s="252"/>
      <c r="N70" s="252"/>
    </row>
    <row r="71" spans="1:14" ht="15.6" x14ac:dyDescent="0.6">
      <c r="A71" s="252"/>
      <c r="B71" s="66"/>
      <c r="C71" s="267" t="s">
        <v>21</v>
      </c>
      <c r="D71" s="261">
        <f>D$25</f>
        <v>12</v>
      </c>
      <c r="E71" s="268" t="s">
        <v>57</v>
      </c>
      <c r="F71" s="263">
        <f>J43</f>
        <v>39</v>
      </c>
      <c r="G71" s="259" t="s">
        <v>55</v>
      </c>
      <c r="H71" s="252"/>
      <c r="I71" s="270">
        <f>CEILING(D71*F71,10)</f>
        <v>470</v>
      </c>
      <c r="J71" s="271">
        <f t="shared" si="11"/>
        <v>7.8333333333333338E-2</v>
      </c>
      <c r="K71" s="272">
        <f t="shared" si="12"/>
        <v>0.47</v>
      </c>
      <c r="L71" s="252"/>
      <c r="M71" s="252"/>
      <c r="N71" s="252"/>
    </row>
    <row r="72" spans="1:14" ht="15.6" x14ac:dyDescent="0.6">
      <c r="A72" s="252"/>
      <c r="B72" s="66"/>
      <c r="C72" s="267"/>
      <c r="D72" s="267"/>
      <c r="E72" s="268"/>
      <c r="F72" s="268"/>
      <c r="G72" s="259"/>
      <c r="H72" s="259"/>
      <c r="I72" s="265">
        <f>SUM(I62:I71)</f>
        <v>262057.8125</v>
      </c>
      <c r="J72" s="179">
        <f>I72/$D$5</f>
        <v>43.676302083333333</v>
      </c>
      <c r="K72" s="266">
        <f t="shared" si="12"/>
        <v>262.05781250000001</v>
      </c>
      <c r="L72" s="252"/>
      <c r="M72" s="252"/>
      <c r="N72" s="252"/>
    </row>
    <row r="73" spans="1:14" ht="15.6" x14ac:dyDescent="0.6">
      <c r="A73" s="252"/>
      <c r="B73" s="260" t="s">
        <v>28</v>
      </c>
      <c r="C73" s="273"/>
      <c r="D73" s="273"/>
      <c r="E73" s="268"/>
      <c r="F73" s="268"/>
      <c r="G73" s="259"/>
      <c r="H73" s="259"/>
      <c r="I73" s="265"/>
      <c r="J73" s="265"/>
      <c r="K73" s="265"/>
      <c r="L73" s="252"/>
      <c r="M73" s="252"/>
      <c r="N73" s="252"/>
    </row>
    <row r="74" spans="1:14" ht="15.6" x14ac:dyDescent="0.6">
      <c r="A74" s="252"/>
      <c r="B74" s="274"/>
      <c r="C74" s="267" t="s">
        <v>1</v>
      </c>
      <c r="D74" s="261" t="s">
        <v>99</v>
      </c>
      <c r="E74" s="268"/>
      <c r="F74" s="268"/>
      <c r="G74" s="259"/>
      <c r="H74" s="259"/>
      <c r="I74" s="266">
        <v>0</v>
      </c>
      <c r="J74" s="179">
        <f t="shared" si="11"/>
        <v>0</v>
      </c>
      <c r="K74" s="266">
        <f t="shared" ref="K74:K77" si="15">I74/$D$4</f>
        <v>0</v>
      </c>
      <c r="L74" s="252"/>
      <c r="M74" s="252"/>
      <c r="N74" s="252"/>
    </row>
    <row r="75" spans="1:14" ht="15.6" x14ac:dyDescent="0.6">
      <c r="A75" s="252"/>
      <c r="B75" s="274"/>
      <c r="C75" s="267" t="s">
        <v>133</v>
      </c>
      <c r="D75" s="261" t="s">
        <v>134</v>
      </c>
      <c r="E75" s="268"/>
      <c r="F75" s="268"/>
      <c r="G75" s="259"/>
      <c r="H75" s="259"/>
      <c r="I75" s="266">
        <v>0</v>
      </c>
      <c r="J75" s="179">
        <f t="shared" ref="J75" si="16">I75/$D$5</f>
        <v>0</v>
      </c>
      <c r="K75" s="266">
        <f t="shared" ref="K75" si="17">I75/$D$4</f>
        <v>0</v>
      </c>
      <c r="L75" s="252"/>
      <c r="M75" s="252"/>
      <c r="N75" s="252"/>
    </row>
    <row r="76" spans="1:14" ht="15.6" x14ac:dyDescent="0.6">
      <c r="A76" s="252"/>
      <c r="B76" s="274"/>
      <c r="C76" s="267" t="s">
        <v>2</v>
      </c>
      <c r="D76" s="261">
        <f>D$25</f>
        <v>12</v>
      </c>
      <c r="E76" s="268" t="s">
        <v>57</v>
      </c>
      <c r="F76" s="269">
        <f>F$25</f>
        <v>800</v>
      </c>
      <c r="G76" s="259" t="s">
        <v>58</v>
      </c>
      <c r="H76" s="259"/>
      <c r="I76" s="272">
        <f>CEILING(-D76*F76,10)</f>
        <v>-9600</v>
      </c>
      <c r="J76" s="271">
        <f t="shared" si="11"/>
        <v>-1.6</v>
      </c>
      <c r="K76" s="272">
        <f t="shared" si="15"/>
        <v>-9.6</v>
      </c>
      <c r="L76" s="252"/>
      <c r="M76" s="252"/>
      <c r="N76" s="252"/>
    </row>
    <row r="77" spans="1:14" ht="15.6" x14ac:dyDescent="0.6">
      <c r="A77" s="252"/>
      <c r="B77" s="66"/>
      <c r="C77" s="273"/>
      <c r="D77" s="273"/>
      <c r="E77" s="273"/>
      <c r="F77" s="273"/>
      <c r="G77" s="273"/>
      <c r="H77" s="273"/>
      <c r="I77" s="266">
        <f>SUM(I74:I76)</f>
        <v>-9600</v>
      </c>
      <c r="J77" s="179">
        <f t="shared" si="11"/>
        <v>-1.6</v>
      </c>
      <c r="K77" s="266">
        <f t="shared" si="15"/>
        <v>-9.6</v>
      </c>
      <c r="L77" s="252"/>
      <c r="M77" s="252"/>
      <c r="N77" s="252"/>
    </row>
    <row r="78" spans="1:14" ht="15.6" x14ac:dyDescent="0.6">
      <c r="A78" s="252"/>
      <c r="B78" s="275" t="s">
        <v>0</v>
      </c>
      <c r="C78" s="257"/>
      <c r="D78" s="257"/>
      <c r="E78" s="257"/>
      <c r="F78" s="257"/>
      <c r="G78" s="257"/>
      <c r="H78" s="257"/>
      <c r="I78" s="276">
        <f>I59+I72+I77</f>
        <v>589407.8125</v>
      </c>
      <c r="J78" s="277">
        <f>J59+J72+J77</f>
        <v>98.234635416666663</v>
      </c>
      <c r="K78" s="278">
        <f>K59+K72+K77</f>
        <v>589.40781249999998</v>
      </c>
      <c r="L78" s="252"/>
      <c r="M78" s="252"/>
      <c r="N78" s="252"/>
    </row>
    <row r="79" spans="1:14" ht="15.6" x14ac:dyDescent="0.6">
      <c r="A79" s="252"/>
      <c r="B79" s="66" t="s">
        <v>23</v>
      </c>
      <c r="C79" s="259"/>
      <c r="D79" s="259"/>
      <c r="E79" s="259"/>
      <c r="F79" s="259"/>
      <c r="G79" s="259"/>
      <c r="H79" s="259"/>
      <c r="I79" s="198" t="s">
        <v>48</v>
      </c>
      <c r="J79" s="198" t="s">
        <v>49</v>
      </c>
      <c r="K79" s="198" t="s">
        <v>50</v>
      </c>
      <c r="L79" s="252"/>
      <c r="M79" s="252"/>
      <c r="N79" s="252"/>
    </row>
    <row r="80" spans="1:14" ht="15.6" x14ac:dyDescent="0.6">
      <c r="A80" s="252"/>
      <c r="B80" s="260" t="s">
        <v>3</v>
      </c>
      <c r="C80" s="259"/>
      <c r="L80" s="252"/>
      <c r="M80" s="252"/>
      <c r="N80" s="252"/>
    </row>
    <row r="81" spans="1:14" ht="15.6" x14ac:dyDescent="0.6">
      <c r="A81" s="252"/>
      <c r="B81" s="260"/>
      <c r="C81" s="259" t="s">
        <v>224</v>
      </c>
      <c r="D81" s="261">
        <f>D$15</f>
        <v>10185</v>
      </c>
      <c r="E81" s="262" t="s">
        <v>57</v>
      </c>
      <c r="F81" s="263">
        <f>F$30</f>
        <v>3.5</v>
      </c>
      <c r="G81" s="264" t="s">
        <v>204</v>
      </c>
      <c r="H81" s="259"/>
      <c r="I81" s="265">
        <f>CEILING(D81*F81,10)</f>
        <v>35650</v>
      </c>
      <c r="J81" s="179">
        <f>I81/$D$5</f>
        <v>5.9416666666666664</v>
      </c>
      <c r="K81" s="266">
        <f>I81/$D$4</f>
        <v>35.65</v>
      </c>
      <c r="L81" s="252"/>
      <c r="M81" s="252"/>
      <c r="N81" s="252"/>
    </row>
    <row r="82" spans="1:14" ht="15.6" x14ac:dyDescent="0.6">
      <c r="A82" s="252"/>
      <c r="B82" s="260"/>
      <c r="C82" s="259" t="s">
        <v>135</v>
      </c>
      <c r="D82" s="261">
        <f>D65</f>
        <v>5265</v>
      </c>
      <c r="E82" s="262" t="s">
        <v>57</v>
      </c>
      <c r="F82" s="263">
        <f>F$31</f>
        <v>3.5</v>
      </c>
      <c r="G82" s="264" t="s">
        <v>204</v>
      </c>
      <c r="H82" s="259"/>
      <c r="I82" s="265">
        <f>CEILING(D82*F82,10)</f>
        <v>18430</v>
      </c>
      <c r="J82" s="179">
        <f>I82/$D$5</f>
        <v>3.0716666666666668</v>
      </c>
      <c r="K82" s="266">
        <f>I82/$D$4</f>
        <v>18.43</v>
      </c>
      <c r="L82" s="252"/>
      <c r="M82" s="252"/>
      <c r="N82" s="252"/>
    </row>
    <row r="83" spans="1:14" ht="15.6" x14ac:dyDescent="0.6">
      <c r="A83" s="252"/>
      <c r="B83" s="260" t="s">
        <v>97</v>
      </c>
      <c r="C83" s="259"/>
      <c r="D83" s="261">
        <f>D81</f>
        <v>10185</v>
      </c>
      <c r="E83" s="262" t="s">
        <v>57</v>
      </c>
      <c r="F83" s="263">
        <f>I83/D83</f>
        <v>2.903289150711831</v>
      </c>
      <c r="G83" s="264" t="s">
        <v>204</v>
      </c>
      <c r="H83" s="259"/>
      <c r="I83" s="265">
        <f>'Step 3'!E86</f>
        <v>29570</v>
      </c>
      <c r="J83" s="179">
        <f t="shared" ref="J83:J87" si="18">I83/$D$5</f>
        <v>4.9283333333333337</v>
      </c>
      <c r="K83" s="266">
        <f t="shared" ref="K83" si="19">I83/$D$4</f>
        <v>29.57</v>
      </c>
      <c r="L83" s="252"/>
      <c r="M83" s="252"/>
      <c r="N83" s="252"/>
    </row>
    <row r="84" spans="1:14" ht="15.6" x14ac:dyDescent="0.6">
      <c r="A84" s="252"/>
      <c r="B84" s="260" t="s">
        <v>24</v>
      </c>
      <c r="C84" s="259"/>
      <c r="D84" s="261">
        <f>D81</f>
        <v>10185</v>
      </c>
      <c r="E84" s="262" t="str">
        <f>E81</f>
        <v>hd @</v>
      </c>
      <c r="F84" s="263">
        <f>F$33</f>
        <v>6.5</v>
      </c>
      <c r="G84" s="264" t="s">
        <v>204</v>
      </c>
      <c r="H84" s="259"/>
      <c r="I84" s="265">
        <f>CEILING(D84*F84,10)</f>
        <v>66210</v>
      </c>
      <c r="J84" s="179">
        <f t="shared" si="18"/>
        <v>11.035</v>
      </c>
      <c r="K84" s="266">
        <f t="shared" ref="K84:K87" si="20">I84/$D$4</f>
        <v>66.209999999999994</v>
      </c>
      <c r="L84" s="252"/>
      <c r="M84" s="252"/>
      <c r="N84" s="252"/>
    </row>
    <row r="85" spans="1:14" ht="15.6" x14ac:dyDescent="0.6">
      <c r="A85" s="252"/>
      <c r="B85" s="260" t="s">
        <v>25</v>
      </c>
      <c r="C85" s="259"/>
      <c r="D85" s="279">
        <f>D59*F59/170</f>
        <v>218.85882352941175</v>
      </c>
      <c r="E85" s="262" t="s">
        <v>59</v>
      </c>
      <c r="F85" s="263">
        <f>F$34</f>
        <v>20</v>
      </c>
      <c r="G85" s="264" t="s">
        <v>60</v>
      </c>
      <c r="H85" s="259"/>
      <c r="I85" s="265">
        <f>CEILING(D85*F85,10)</f>
        <v>4380</v>
      </c>
      <c r="J85" s="179">
        <f t="shared" si="18"/>
        <v>0.73</v>
      </c>
      <c r="K85" s="266">
        <f t="shared" si="20"/>
        <v>4.38</v>
      </c>
      <c r="L85" s="252"/>
      <c r="M85" s="252"/>
      <c r="N85" s="252"/>
    </row>
    <row r="86" spans="1:14" ht="15.6" x14ac:dyDescent="0.6">
      <c r="A86" s="252"/>
      <c r="B86" s="260" t="s">
        <v>26</v>
      </c>
      <c r="C86" s="259"/>
      <c r="D86" s="259"/>
      <c r="E86" s="259"/>
      <c r="F86" s="263">
        <f>F$35</f>
        <v>15</v>
      </c>
      <c r="G86" s="264" t="s">
        <v>60</v>
      </c>
      <c r="H86" s="259"/>
      <c r="I86" s="265">
        <f>CEILING(D85*F86,10)</f>
        <v>3290</v>
      </c>
      <c r="J86" s="179">
        <f t="shared" si="18"/>
        <v>0.54833333333333334</v>
      </c>
      <c r="K86" s="266">
        <f t="shared" si="20"/>
        <v>3.29</v>
      </c>
      <c r="L86" s="252"/>
      <c r="M86" s="252"/>
      <c r="N86" s="252"/>
    </row>
    <row r="87" spans="1:14" ht="15.6" x14ac:dyDescent="0.6">
      <c r="A87" s="252"/>
      <c r="B87" s="260" t="s">
        <v>27</v>
      </c>
      <c r="C87" s="259"/>
      <c r="D87" s="261">
        <f>D62+D63+D70+D71+D76</f>
        <v>4934.625</v>
      </c>
      <c r="E87" s="268" t="s">
        <v>57</v>
      </c>
      <c r="F87" s="263">
        <f>F$36</f>
        <v>2</v>
      </c>
      <c r="G87" s="264" t="s">
        <v>61</v>
      </c>
      <c r="H87" s="259"/>
      <c r="I87" s="265">
        <f>CEILING(D87*F87,10)</f>
        <v>9870</v>
      </c>
      <c r="J87" s="179">
        <f t="shared" si="18"/>
        <v>1.645</v>
      </c>
      <c r="K87" s="266">
        <f t="shared" si="20"/>
        <v>9.8699999999999992</v>
      </c>
      <c r="L87" s="252"/>
      <c r="M87" s="252"/>
      <c r="N87" s="252"/>
    </row>
    <row r="88" spans="1:14" ht="15.6" x14ac:dyDescent="0.6">
      <c r="A88" s="252"/>
      <c r="B88" s="275" t="s">
        <v>41</v>
      </c>
      <c r="C88" s="257"/>
      <c r="D88" s="257"/>
      <c r="E88" s="280"/>
      <c r="F88" s="257"/>
      <c r="G88" s="257"/>
      <c r="H88" s="257"/>
      <c r="I88" s="276">
        <f>SUM(I81:I87)</f>
        <v>167400</v>
      </c>
      <c r="J88" s="277">
        <f>SUM(J81:J87)</f>
        <v>27.9</v>
      </c>
      <c r="K88" s="278">
        <f>SUM(K81:K87)</f>
        <v>167.4</v>
      </c>
      <c r="L88" s="252"/>
      <c r="M88" s="252"/>
      <c r="N88" s="252"/>
    </row>
    <row r="89" spans="1:14" ht="15.6" x14ac:dyDescent="0.6">
      <c r="A89" s="252"/>
      <c r="B89" s="281" t="s">
        <v>62</v>
      </c>
      <c r="C89" s="257"/>
      <c r="D89" s="257"/>
      <c r="E89" s="280"/>
      <c r="F89" s="257"/>
      <c r="G89" s="257"/>
      <c r="H89" s="257"/>
      <c r="I89" s="276">
        <f>I78-I88</f>
        <v>422007.8125</v>
      </c>
      <c r="J89" s="277">
        <f>J78-J88</f>
        <v>70.334635416666657</v>
      </c>
      <c r="K89" s="278">
        <f>K78-K88</f>
        <v>422.0078125</v>
      </c>
      <c r="L89" s="252"/>
      <c r="M89" s="252"/>
      <c r="N89" s="252"/>
    </row>
    <row r="90" spans="1:14" ht="15.6" x14ac:dyDescent="0.6">
      <c r="A90" s="252"/>
      <c r="B90" s="282"/>
      <c r="C90" s="255"/>
      <c r="D90" s="255"/>
      <c r="E90" s="255"/>
      <c r="F90" s="255"/>
      <c r="G90" s="255"/>
      <c r="H90" s="255"/>
      <c r="I90" s="255"/>
      <c r="J90" s="255"/>
      <c r="K90" s="255"/>
      <c r="L90" s="252"/>
      <c r="M90" s="252"/>
      <c r="N90" s="252"/>
    </row>
    <row r="91" spans="1:14" ht="18.3" x14ac:dyDescent="0.7">
      <c r="A91" s="252"/>
      <c r="B91" s="253" t="s">
        <v>226</v>
      </c>
      <c r="C91" s="252"/>
      <c r="D91" s="252"/>
      <c r="E91" s="252"/>
      <c r="F91" s="252"/>
      <c r="G91" s="252"/>
      <c r="H91" s="252"/>
      <c r="I91" s="252"/>
      <c r="J91" s="252"/>
      <c r="K91" s="252"/>
      <c r="L91" s="252"/>
      <c r="M91" s="252"/>
      <c r="N91" s="252"/>
    </row>
    <row r="92" spans="1:14" ht="17.7" x14ac:dyDescent="0.6">
      <c r="A92" s="252"/>
      <c r="B92" s="256"/>
      <c r="C92" s="257"/>
      <c r="D92" s="257"/>
      <c r="E92" s="257"/>
      <c r="F92" s="257"/>
      <c r="G92" s="257"/>
      <c r="H92" s="257"/>
      <c r="I92" s="258" t="s">
        <v>46</v>
      </c>
      <c r="J92" s="258" t="s">
        <v>78</v>
      </c>
      <c r="K92" s="258" t="s">
        <v>87</v>
      </c>
      <c r="L92" s="252"/>
      <c r="M92" s="252"/>
      <c r="N92" s="252"/>
    </row>
    <row r="93" spans="1:14" ht="15.6" x14ac:dyDescent="0.6">
      <c r="A93" s="252"/>
      <c r="B93" s="66" t="s">
        <v>18</v>
      </c>
      <c r="C93" s="259"/>
      <c r="D93" s="259"/>
      <c r="E93" s="259"/>
      <c r="F93" s="259"/>
      <c r="G93" s="259"/>
      <c r="H93" s="259"/>
      <c r="I93" s="198" t="s">
        <v>48</v>
      </c>
      <c r="J93" s="198" t="s">
        <v>49</v>
      </c>
      <c r="K93" s="198" t="s">
        <v>50</v>
      </c>
      <c r="L93" s="252"/>
      <c r="M93" s="252"/>
      <c r="N93" s="252"/>
    </row>
    <row r="94" spans="1:14" ht="15.6" x14ac:dyDescent="0.6">
      <c r="A94" s="252"/>
      <c r="B94" s="260" t="s">
        <v>4</v>
      </c>
      <c r="C94" s="259"/>
      <c r="D94" s="261">
        <f>$D$11</f>
        <v>6000</v>
      </c>
      <c r="E94" s="288" t="s">
        <v>212</v>
      </c>
      <c r="F94" s="348">
        <f>K44</f>
        <v>6.232800000000001</v>
      </c>
      <c r="G94" s="263">
        <f>L44</f>
        <v>9.0449999999999999</v>
      </c>
      <c r="H94" s="264" t="s">
        <v>47</v>
      </c>
      <c r="I94" s="265">
        <f>CEILING(D94*F94*G94,10)</f>
        <v>338260</v>
      </c>
      <c r="J94" s="179">
        <f>I94/$D$5</f>
        <v>56.376666666666665</v>
      </c>
      <c r="K94" s="266">
        <f>I94/$D$4</f>
        <v>338.26</v>
      </c>
      <c r="L94" s="252"/>
      <c r="M94" s="252"/>
      <c r="N94" s="252"/>
    </row>
    <row r="95" spans="1:14" ht="15.6" x14ac:dyDescent="0.6">
      <c r="A95" s="252"/>
      <c r="B95" s="260"/>
      <c r="C95" s="259"/>
      <c r="D95" s="261"/>
      <c r="E95" s="314" t="s">
        <v>214</v>
      </c>
      <c r="F95" s="289"/>
      <c r="G95" s="263"/>
      <c r="H95" s="264"/>
      <c r="I95" s="265"/>
      <c r="J95" s="179"/>
      <c r="K95" s="266"/>
      <c r="L95" s="252"/>
      <c r="M95" s="252"/>
      <c r="N95" s="252"/>
    </row>
    <row r="96" spans="1:14" ht="15.6" x14ac:dyDescent="0.6">
      <c r="A96" s="252"/>
      <c r="B96" s="260" t="s">
        <v>22</v>
      </c>
      <c r="C96" s="259"/>
      <c r="D96" s="261"/>
      <c r="E96" s="327" t="s">
        <v>225</v>
      </c>
      <c r="F96" s="259"/>
      <c r="G96" s="259"/>
      <c r="H96" s="259"/>
      <c r="I96" s="265"/>
      <c r="J96" s="265"/>
      <c r="K96" s="265"/>
      <c r="L96" s="252"/>
      <c r="M96" s="252"/>
      <c r="N96" s="252"/>
    </row>
    <row r="97" spans="1:14" ht="15.6" x14ac:dyDescent="0.6">
      <c r="A97" s="252"/>
      <c r="B97" s="66"/>
      <c r="C97" s="267" t="s">
        <v>19</v>
      </c>
      <c r="D97" s="261">
        <f>D$17+D$11*'Step 3'!E140</f>
        <v>924</v>
      </c>
      <c r="E97" s="328">
        <f>-(D$17-D97)/D$17</f>
        <v>2.6666666666666668E-2</v>
      </c>
      <c r="F97" s="346">
        <f>G44</f>
        <v>39.200000000000003</v>
      </c>
      <c r="G97" s="259" t="s">
        <v>55</v>
      </c>
      <c r="H97" s="252"/>
      <c r="I97" s="265">
        <f>CEILING(D97*F97,10)</f>
        <v>36230</v>
      </c>
      <c r="J97" s="179">
        <f t="shared" ref="J97:J98" si="21">I97/$D$5</f>
        <v>6.0383333333333331</v>
      </c>
      <c r="K97" s="266">
        <f t="shared" ref="K97:K98" si="22">I97/$D$4</f>
        <v>36.229999999999997</v>
      </c>
      <c r="L97" s="252"/>
      <c r="M97" s="252"/>
      <c r="N97" s="252"/>
    </row>
    <row r="98" spans="1:14" ht="15.6" x14ac:dyDescent="0.6">
      <c r="A98" s="252"/>
      <c r="B98" s="66"/>
      <c r="C98" s="267" t="s">
        <v>215</v>
      </c>
      <c r="D98" s="261">
        <f>D$18+D$12*'Step 3'!E140</f>
        <v>385</v>
      </c>
      <c r="E98" s="328">
        <f>-(D$18-D98)/D$18</f>
        <v>2.6666666666666668E-2</v>
      </c>
      <c r="F98" s="346">
        <f>H44</f>
        <v>39.200000000000003</v>
      </c>
      <c r="G98" s="259" t="s">
        <v>55</v>
      </c>
      <c r="H98" s="252"/>
      <c r="I98" s="265">
        <f>CEILING(D98*F98,10)</f>
        <v>15100</v>
      </c>
      <c r="J98" s="179">
        <f t="shared" si="21"/>
        <v>2.5166666666666666</v>
      </c>
      <c r="K98" s="266">
        <f t="shared" si="22"/>
        <v>15.1</v>
      </c>
      <c r="L98" s="252"/>
      <c r="M98" s="252"/>
      <c r="N98" s="252"/>
    </row>
    <row r="99" spans="1:14" ht="15.6" x14ac:dyDescent="0.6">
      <c r="A99" s="252"/>
      <c r="B99" s="66"/>
      <c r="C99" s="267" t="s">
        <v>20</v>
      </c>
      <c r="D99" s="261"/>
      <c r="E99" s="326"/>
      <c r="F99" s="252"/>
      <c r="G99" s="252"/>
      <c r="H99" s="252"/>
      <c r="I99" s="127"/>
      <c r="J99" s="127"/>
      <c r="K99" s="127"/>
      <c r="L99" s="252"/>
      <c r="M99" s="252"/>
      <c r="N99" s="252"/>
    </row>
    <row r="100" spans="1:14" ht="15.6" x14ac:dyDescent="0.6">
      <c r="A100" s="252"/>
      <c r="B100" s="66"/>
      <c r="C100" s="273" t="s">
        <v>216</v>
      </c>
      <c r="D100" s="261">
        <f>D$59*D44</f>
        <v>5292.0000000000009</v>
      </c>
      <c r="E100" s="326"/>
      <c r="F100" s="269"/>
      <c r="G100" s="259"/>
      <c r="H100" s="252"/>
      <c r="I100" s="265"/>
      <c r="J100" s="179"/>
      <c r="K100" s="266"/>
      <c r="L100" s="252"/>
      <c r="M100" s="252"/>
      <c r="N100" s="252"/>
    </row>
    <row r="101" spans="1:14" ht="15.6" x14ac:dyDescent="0.6">
      <c r="A101" s="252"/>
      <c r="B101" s="66"/>
      <c r="C101" s="273" t="s">
        <v>98</v>
      </c>
      <c r="D101" s="261">
        <f>-D$11*E44</f>
        <v>-303.00000000000006</v>
      </c>
      <c r="E101" s="326"/>
      <c r="F101" s="269"/>
      <c r="G101" s="259"/>
      <c r="H101" s="252"/>
      <c r="I101" s="265"/>
      <c r="J101" s="179"/>
      <c r="K101" s="266"/>
      <c r="L101" s="252"/>
      <c r="M101" s="252"/>
      <c r="N101" s="252"/>
    </row>
    <row r="102" spans="1:14" ht="15.6" x14ac:dyDescent="0.6">
      <c r="A102" s="252"/>
      <c r="B102" s="66"/>
      <c r="C102" s="273" t="s">
        <v>222</v>
      </c>
      <c r="D102" s="261">
        <f>-D97</f>
        <v>-924</v>
      </c>
      <c r="E102" s="326"/>
      <c r="F102" s="269"/>
      <c r="G102" s="259"/>
      <c r="H102" s="252"/>
      <c r="I102" s="265"/>
      <c r="J102" s="179"/>
      <c r="K102" s="266"/>
      <c r="L102" s="252"/>
      <c r="M102" s="252"/>
      <c r="N102" s="252"/>
    </row>
    <row r="103" spans="1:14" ht="15.6" x14ac:dyDescent="0.6">
      <c r="A103" s="252"/>
      <c r="B103" s="66"/>
      <c r="C103" s="273" t="s">
        <v>210</v>
      </c>
      <c r="D103" s="261">
        <f>-D$12*F44</f>
        <v>-50.500000000000007</v>
      </c>
      <c r="E103" s="326"/>
      <c r="F103" s="269"/>
      <c r="G103" s="259"/>
      <c r="H103" s="252"/>
      <c r="I103" s="265"/>
      <c r="J103" s="179"/>
      <c r="K103" s="266"/>
      <c r="L103" s="252"/>
      <c r="M103" s="252"/>
      <c r="N103" s="252"/>
    </row>
    <row r="104" spans="1:14" ht="15.6" x14ac:dyDescent="0.6">
      <c r="A104" s="252"/>
      <c r="B104" s="66"/>
      <c r="C104" s="273" t="s">
        <v>217</v>
      </c>
      <c r="D104" s="285">
        <f>-D98</f>
        <v>-385</v>
      </c>
      <c r="E104" s="326"/>
      <c r="F104" s="269"/>
      <c r="G104" s="259"/>
      <c r="H104" s="252"/>
      <c r="I104" s="265"/>
      <c r="J104" s="179"/>
      <c r="K104" s="266"/>
      <c r="L104" s="252"/>
      <c r="M104" s="252"/>
      <c r="N104" s="252"/>
    </row>
    <row r="105" spans="1:14" ht="15.6" x14ac:dyDescent="0.6">
      <c r="A105" s="252"/>
      <c r="B105" s="66"/>
      <c r="C105" s="267"/>
      <c r="D105" s="261">
        <f>SUM(D100:D104)</f>
        <v>3629.5000000000009</v>
      </c>
      <c r="E105" s="329">
        <f>-(D$19-D105)/D$19</f>
        <v>-3.854304635761565E-2</v>
      </c>
      <c r="F105" s="263">
        <f>I44</f>
        <v>58.8</v>
      </c>
      <c r="G105" s="259" t="s">
        <v>55</v>
      </c>
      <c r="H105" s="252"/>
      <c r="I105" s="265">
        <f>D105*F105</f>
        <v>213414.60000000003</v>
      </c>
      <c r="J105" s="179">
        <f>I105/$D$5</f>
        <v>35.569100000000006</v>
      </c>
      <c r="K105" s="266">
        <f>I105/$D$4</f>
        <v>213.41460000000004</v>
      </c>
      <c r="L105" s="252"/>
      <c r="M105" s="252"/>
      <c r="N105" s="252"/>
    </row>
    <row r="106" spans="1:14" ht="15.6" x14ac:dyDescent="0.6">
      <c r="A106" s="252"/>
      <c r="B106" s="66"/>
      <c r="C106" s="267" t="s">
        <v>21</v>
      </c>
      <c r="D106" s="261">
        <f>D$25</f>
        <v>12</v>
      </c>
      <c r="E106" s="268" t="s">
        <v>57</v>
      </c>
      <c r="F106" s="263">
        <f>J44</f>
        <v>39.200000000000003</v>
      </c>
      <c r="G106" s="259" t="s">
        <v>55</v>
      </c>
      <c r="H106" s="252"/>
      <c r="I106" s="270">
        <f>CEILING(D106*F106,10)</f>
        <v>480</v>
      </c>
      <c r="J106" s="271">
        <f t="shared" ref="J106" si="23">I106/$D$5</f>
        <v>0.08</v>
      </c>
      <c r="K106" s="272">
        <f t="shared" ref="K106:K107" si="24">I106/$D$4</f>
        <v>0.48</v>
      </c>
      <c r="L106" s="252"/>
      <c r="M106" s="252"/>
      <c r="N106" s="252"/>
    </row>
    <row r="107" spans="1:14" ht="15.6" x14ac:dyDescent="0.6">
      <c r="A107" s="252"/>
      <c r="B107" s="66"/>
      <c r="C107" s="267"/>
      <c r="D107" s="267"/>
      <c r="E107" s="268"/>
      <c r="F107" s="268"/>
      <c r="G107" s="259"/>
      <c r="H107" s="259"/>
      <c r="I107" s="265">
        <f>SUM(I97:I106)</f>
        <v>265224.60000000003</v>
      </c>
      <c r="J107" s="179">
        <f>I107/$D$5</f>
        <v>44.204100000000004</v>
      </c>
      <c r="K107" s="266">
        <f t="shared" si="24"/>
        <v>265.22460000000001</v>
      </c>
      <c r="L107" s="252"/>
      <c r="M107" s="252"/>
      <c r="N107" s="252"/>
    </row>
    <row r="108" spans="1:14" ht="15.6" x14ac:dyDescent="0.6">
      <c r="A108" s="252"/>
      <c r="B108" s="260" t="s">
        <v>28</v>
      </c>
      <c r="C108" s="273"/>
      <c r="D108" s="273"/>
      <c r="E108" s="268"/>
      <c r="F108" s="268"/>
      <c r="G108" s="259"/>
      <c r="H108" s="259"/>
      <c r="I108" s="265"/>
      <c r="J108" s="265"/>
      <c r="K108" s="265"/>
      <c r="L108" s="252"/>
      <c r="M108" s="252"/>
      <c r="N108" s="252"/>
    </row>
    <row r="109" spans="1:14" ht="15.6" x14ac:dyDescent="0.6">
      <c r="A109" s="252"/>
      <c r="B109" s="274"/>
      <c r="C109" s="267" t="s">
        <v>1</v>
      </c>
      <c r="D109" s="261" t="s">
        <v>99</v>
      </c>
      <c r="E109" s="268"/>
      <c r="F109" s="268"/>
      <c r="G109" s="259"/>
      <c r="H109" s="259"/>
      <c r="I109" s="266">
        <v>0</v>
      </c>
      <c r="J109" s="179">
        <f t="shared" ref="J109:J112" si="25">I109/$D$5</f>
        <v>0</v>
      </c>
      <c r="K109" s="266">
        <f t="shared" ref="K109:K112" si="26">I109/$D$4</f>
        <v>0</v>
      </c>
      <c r="L109" s="252"/>
      <c r="M109" s="252"/>
      <c r="N109" s="252"/>
    </row>
    <row r="110" spans="1:14" ht="15.6" x14ac:dyDescent="0.6">
      <c r="A110" s="252"/>
      <c r="B110" s="274"/>
      <c r="C110" s="267" t="s">
        <v>133</v>
      </c>
      <c r="D110" s="261" t="s">
        <v>134</v>
      </c>
      <c r="E110" s="268"/>
      <c r="F110" s="268"/>
      <c r="G110" s="259"/>
      <c r="H110" s="259"/>
      <c r="I110" s="266">
        <v>0</v>
      </c>
      <c r="J110" s="179">
        <f t="shared" si="25"/>
        <v>0</v>
      </c>
      <c r="K110" s="266">
        <f t="shared" si="26"/>
        <v>0</v>
      </c>
      <c r="L110" s="252"/>
      <c r="M110" s="252"/>
      <c r="N110" s="252"/>
    </row>
    <row r="111" spans="1:14" ht="15.6" x14ac:dyDescent="0.6">
      <c r="A111" s="252"/>
      <c r="B111" s="274"/>
      <c r="C111" s="267" t="s">
        <v>2</v>
      </c>
      <c r="D111" s="261">
        <f>D$25</f>
        <v>12</v>
      </c>
      <c r="E111" s="268" t="s">
        <v>57</v>
      </c>
      <c r="F111" s="269">
        <f>F$25</f>
        <v>800</v>
      </c>
      <c r="G111" s="259" t="s">
        <v>58</v>
      </c>
      <c r="H111" s="259"/>
      <c r="I111" s="272">
        <f>CEILING(-D111*F111,10)</f>
        <v>-9600</v>
      </c>
      <c r="J111" s="271">
        <f t="shared" si="25"/>
        <v>-1.6</v>
      </c>
      <c r="K111" s="272">
        <f t="shared" si="26"/>
        <v>-9.6</v>
      </c>
      <c r="L111" s="252"/>
      <c r="M111" s="252"/>
      <c r="N111" s="252"/>
    </row>
    <row r="112" spans="1:14" ht="15.6" x14ac:dyDescent="0.6">
      <c r="A112" s="252"/>
      <c r="B112" s="66"/>
      <c r="C112" s="273"/>
      <c r="D112" s="273"/>
      <c r="E112" s="273"/>
      <c r="F112" s="273"/>
      <c r="G112" s="273"/>
      <c r="H112" s="273"/>
      <c r="I112" s="266">
        <f>SUM(I109:I111)</f>
        <v>-9600</v>
      </c>
      <c r="J112" s="179">
        <f t="shared" si="25"/>
        <v>-1.6</v>
      </c>
      <c r="K112" s="266">
        <f t="shared" si="26"/>
        <v>-9.6</v>
      </c>
      <c r="L112" s="252"/>
      <c r="M112" s="252"/>
      <c r="N112" s="252"/>
    </row>
    <row r="113" spans="1:14" ht="15.6" x14ac:dyDescent="0.6">
      <c r="A113" s="252"/>
      <c r="B113" s="275" t="s">
        <v>0</v>
      </c>
      <c r="C113" s="257"/>
      <c r="D113" s="257"/>
      <c r="E113" s="257"/>
      <c r="F113" s="257"/>
      <c r="G113" s="257"/>
      <c r="H113" s="257"/>
      <c r="I113" s="276">
        <f>I94+I107+I112</f>
        <v>593884.60000000009</v>
      </c>
      <c r="J113" s="277">
        <f>J94+J107+J112</f>
        <v>98.980766666666682</v>
      </c>
      <c r="K113" s="278">
        <f>K94+K107+K112</f>
        <v>593.88459999999998</v>
      </c>
      <c r="L113" s="252"/>
      <c r="M113" s="252"/>
      <c r="N113" s="252"/>
    </row>
    <row r="114" spans="1:14" ht="15.6" x14ac:dyDescent="0.6">
      <c r="A114" s="252"/>
      <c r="B114" s="66" t="s">
        <v>23</v>
      </c>
      <c r="C114" s="259"/>
      <c r="D114" s="259"/>
      <c r="E114" s="259"/>
      <c r="F114" s="259"/>
      <c r="G114" s="259"/>
      <c r="H114" s="259"/>
      <c r="I114" s="198" t="s">
        <v>48</v>
      </c>
      <c r="J114" s="198" t="s">
        <v>49</v>
      </c>
      <c r="K114" s="198" t="s">
        <v>50</v>
      </c>
      <c r="L114" s="252"/>
      <c r="M114" s="252"/>
      <c r="N114" s="252"/>
    </row>
    <row r="115" spans="1:14" ht="15.6" x14ac:dyDescent="0.6">
      <c r="A115" s="252"/>
      <c r="B115" s="260" t="s">
        <v>3</v>
      </c>
      <c r="C115" s="259"/>
      <c r="D115" s="259"/>
      <c r="E115" s="259"/>
      <c r="F115" s="259"/>
      <c r="G115" s="259"/>
      <c r="L115" s="252"/>
      <c r="M115" s="252"/>
      <c r="N115" s="252"/>
    </row>
    <row r="116" spans="1:14" ht="15.6" x14ac:dyDescent="0.6">
      <c r="A116" s="252"/>
      <c r="B116" s="260"/>
      <c r="C116" s="259" t="s">
        <v>224</v>
      </c>
      <c r="D116" s="261">
        <f>D$15</f>
        <v>10185</v>
      </c>
      <c r="E116" s="262" t="s">
        <v>57</v>
      </c>
      <c r="F116" s="263">
        <f>F$30</f>
        <v>3.5</v>
      </c>
      <c r="G116" s="264" t="s">
        <v>204</v>
      </c>
      <c r="H116" s="259"/>
      <c r="I116" s="265">
        <f>CEILING(D116*F116,10)</f>
        <v>35650</v>
      </c>
      <c r="J116" s="179">
        <f>I116/$D$5</f>
        <v>5.9416666666666664</v>
      </c>
      <c r="K116" s="266">
        <f>I116/$D$4</f>
        <v>35.65</v>
      </c>
      <c r="L116" s="252"/>
      <c r="M116" s="252"/>
      <c r="N116" s="252"/>
    </row>
    <row r="117" spans="1:14" ht="15.6" x14ac:dyDescent="0.6">
      <c r="A117" s="252"/>
      <c r="B117" s="260"/>
      <c r="C117" s="259" t="s">
        <v>135</v>
      </c>
      <c r="D117" s="261">
        <f>D100</f>
        <v>5292.0000000000009</v>
      </c>
      <c r="E117" s="262" t="s">
        <v>57</v>
      </c>
      <c r="F117" s="263">
        <f>F$31</f>
        <v>3.5</v>
      </c>
      <c r="G117" s="264" t="s">
        <v>204</v>
      </c>
      <c r="H117" s="259"/>
      <c r="I117" s="265">
        <f>CEILING(D117*F117,10)</f>
        <v>18530</v>
      </c>
      <c r="J117" s="179">
        <f>I117/$D$5</f>
        <v>3.0883333333333334</v>
      </c>
      <c r="K117" s="266">
        <f>I117/$D$4</f>
        <v>18.53</v>
      </c>
      <c r="L117" s="252"/>
      <c r="M117" s="252"/>
      <c r="N117" s="252"/>
    </row>
    <row r="118" spans="1:14" ht="15.6" x14ac:dyDescent="0.6">
      <c r="A118" s="252"/>
      <c r="B118" s="260" t="s">
        <v>97</v>
      </c>
      <c r="C118" s="259"/>
      <c r="D118" s="261">
        <f>D116</f>
        <v>10185</v>
      </c>
      <c r="E118" s="262" t="s">
        <v>57</v>
      </c>
      <c r="F118" s="263">
        <f>I118/D118</f>
        <v>2.903289150711831</v>
      </c>
      <c r="G118" s="264" t="s">
        <v>204</v>
      </c>
      <c r="H118" s="259"/>
      <c r="I118" s="265">
        <f>'Step 3'!E87</f>
        <v>29570</v>
      </c>
      <c r="J118" s="179">
        <f t="shared" ref="J118:J122" si="27">I118/$D$5</f>
        <v>4.9283333333333337</v>
      </c>
      <c r="K118" s="266">
        <f t="shared" ref="K118:K122" si="28">I118/$D$4</f>
        <v>29.57</v>
      </c>
      <c r="L118" s="252"/>
      <c r="M118" s="252"/>
      <c r="N118" s="252"/>
    </row>
    <row r="119" spans="1:14" ht="15.6" x14ac:dyDescent="0.6">
      <c r="A119" s="252"/>
      <c r="B119" s="260" t="s">
        <v>24</v>
      </c>
      <c r="C119" s="259"/>
      <c r="D119" s="261">
        <f>D116</f>
        <v>10185</v>
      </c>
      <c r="E119" s="262" t="s">
        <v>57</v>
      </c>
      <c r="F119" s="263">
        <f>F$33</f>
        <v>6.5</v>
      </c>
      <c r="G119" s="264" t="s">
        <v>204</v>
      </c>
      <c r="H119" s="259"/>
      <c r="I119" s="265">
        <f>CEILING(D119*F119,10)</f>
        <v>66210</v>
      </c>
      <c r="J119" s="179">
        <f t="shared" si="27"/>
        <v>11.035</v>
      </c>
      <c r="K119" s="266">
        <f t="shared" si="28"/>
        <v>66.209999999999994</v>
      </c>
      <c r="L119" s="252"/>
      <c r="M119" s="252"/>
      <c r="N119" s="252"/>
    </row>
    <row r="120" spans="1:14" ht="15.6" x14ac:dyDescent="0.6">
      <c r="A120" s="252"/>
      <c r="B120" s="260" t="s">
        <v>25</v>
      </c>
      <c r="C120" s="259"/>
      <c r="D120" s="279">
        <f>D94*F94/170</f>
        <v>219.98117647058825</v>
      </c>
      <c r="E120" s="262" t="s">
        <v>59</v>
      </c>
      <c r="F120" s="263">
        <f>F$34</f>
        <v>20</v>
      </c>
      <c r="G120" s="264" t="s">
        <v>60</v>
      </c>
      <c r="H120" s="259"/>
      <c r="I120" s="265">
        <f>CEILING(D120*F120,10)</f>
        <v>4400</v>
      </c>
      <c r="J120" s="179">
        <f t="shared" si="27"/>
        <v>0.73333333333333328</v>
      </c>
      <c r="K120" s="266">
        <f t="shared" si="28"/>
        <v>4.4000000000000004</v>
      </c>
      <c r="L120" s="252"/>
      <c r="M120" s="252"/>
      <c r="N120" s="252"/>
    </row>
    <row r="121" spans="1:14" ht="15.6" x14ac:dyDescent="0.6">
      <c r="A121" s="252"/>
      <c r="B121" s="260" t="s">
        <v>26</v>
      </c>
      <c r="C121" s="259"/>
      <c r="D121" s="259"/>
      <c r="E121" s="259"/>
      <c r="F121" s="263">
        <f>F$35</f>
        <v>15</v>
      </c>
      <c r="G121" s="264" t="s">
        <v>60</v>
      </c>
      <c r="H121" s="259"/>
      <c r="I121" s="265">
        <f>CEILING(D120*F121,10)</f>
        <v>3300</v>
      </c>
      <c r="J121" s="179">
        <f t="shared" si="27"/>
        <v>0.55000000000000004</v>
      </c>
      <c r="K121" s="266">
        <f t="shared" si="28"/>
        <v>3.3</v>
      </c>
      <c r="L121" s="252"/>
      <c r="M121" s="252"/>
      <c r="N121" s="252"/>
    </row>
    <row r="122" spans="1:14" ht="15.6" x14ac:dyDescent="0.6">
      <c r="A122" s="252"/>
      <c r="B122" s="260" t="s">
        <v>27</v>
      </c>
      <c r="C122" s="259"/>
      <c r="D122" s="261">
        <f>D97+D98+D105+D106+D111</f>
        <v>4962.5000000000009</v>
      </c>
      <c r="E122" s="268" t="s">
        <v>57</v>
      </c>
      <c r="F122" s="263">
        <f>F$36</f>
        <v>2</v>
      </c>
      <c r="G122" s="264" t="s">
        <v>61</v>
      </c>
      <c r="H122" s="259"/>
      <c r="I122" s="265">
        <f>CEILING(D122*F122,10)</f>
        <v>9930</v>
      </c>
      <c r="J122" s="179">
        <f t="shared" si="27"/>
        <v>1.655</v>
      </c>
      <c r="K122" s="266">
        <f t="shared" si="28"/>
        <v>9.93</v>
      </c>
      <c r="L122" s="252"/>
      <c r="M122" s="252"/>
      <c r="N122" s="252"/>
    </row>
    <row r="123" spans="1:14" ht="15.6" x14ac:dyDescent="0.6">
      <c r="A123" s="252"/>
      <c r="B123" s="275" t="s">
        <v>41</v>
      </c>
      <c r="C123" s="257"/>
      <c r="D123" s="257"/>
      <c r="E123" s="280"/>
      <c r="F123" s="257"/>
      <c r="G123" s="257"/>
      <c r="H123" s="257"/>
      <c r="I123" s="276">
        <f>SUM(I116:I122)</f>
        <v>167590</v>
      </c>
      <c r="J123" s="277">
        <f>SUM(J116:J122)</f>
        <v>27.931666666666668</v>
      </c>
      <c r="K123" s="278">
        <f>SUM(K116:K122)</f>
        <v>167.59</v>
      </c>
      <c r="L123" s="252"/>
      <c r="M123" s="252"/>
      <c r="N123" s="252"/>
    </row>
    <row r="124" spans="1:14" ht="15.6" x14ac:dyDescent="0.6">
      <c r="A124" s="252"/>
      <c r="B124" s="281" t="s">
        <v>62</v>
      </c>
      <c r="C124" s="257"/>
      <c r="D124" s="257"/>
      <c r="E124" s="280"/>
      <c r="F124" s="257"/>
      <c r="G124" s="257"/>
      <c r="H124" s="257"/>
      <c r="I124" s="276">
        <f>I113-I123</f>
        <v>426294.60000000009</v>
      </c>
      <c r="J124" s="277">
        <f>J113-J123</f>
        <v>71.04910000000001</v>
      </c>
      <c r="K124" s="278">
        <f>K113-K123</f>
        <v>426.29459999999995</v>
      </c>
      <c r="L124" s="252"/>
      <c r="M124" s="252"/>
      <c r="N124" s="252"/>
    </row>
    <row r="125" spans="1:14" ht="15.6" x14ac:dyDescent="0.6">
      <c r="A125" s="252"/>
      <c r="B125" s="282"/>
      <c r="C125" s="255"/>
      <c r="D125" s="255"/>
      <c r="E125" s="255"/>
      <c r="F125" s="255"/>
      <c r="G125" s="255"/>
      <c r="H125" s="255"/>
      <c r="I125" s="255"/>
      <c r="J125" s="255"/>
      <c r="K125" s="255"/>
      <c r="L125" s="252"/>
      <c r="M125" s="252"/>
      <c r="N125" s="252"/>
    </row>
    <row r="126" spans="1:14" ht="18.3" x14ac:dyDescent="0.7">
      <c r="A126" s="252"/>
      <c r="B126" s="253" t="s">
        <v>228</v>
      </c>
      <c r="C126" s="252"/>
      <c r="D126" s="252"/>
      <c r="E126" s="252"/>
      <c r="F126" s="252"/>
      <c r="G126" s="252"/>
      <c r="H126" s="252"/>
      <c r="I126" s="252"/>
      <c r="J126" s="252"/>
      <c r="K126" s="252"/>
      <c r="L126" s="252"/>
      <c r="M126" s="252"/>
      <c r="N126" s="252"/>
    </row>
    <row r="127" spans="1:14" ht="17.7" x14ac:dyDescent="0.6">
      <c r="A127" s="252"/>
      <c r="B127" s="256"/>
      <c r="C127" s="257"/>
      <c r="D127" s="257"/>
      <c r="E127" s="257"/>
      <c r="F127" s="257"/>
      <c r="G127" s="257"/>
      <c r="H127" s="257"/>
      <c r="I127" s="258" t="s">
        <v>46</v>
      </c>
      <c r="J127" s="258" t="s">
        <v>78</v>
      </c>
      <c r="K127" s="258" t="s">
        <v>87</v>
      </c>
      <c r="L127" s="252"/>
      <c r="M127" s="252"/>
      <c r="N127" s="252"/>
    </row>
    <row r="128" spans="1:14" ht="15.6" x14ac:dyDescent="0.6">
      <c r="A128" s="252"/>
      <c r="B128" s="66" t="s">
        <v>18</v>
      </c>
      <c r="C128" s="259"/>
      <c r="D128" s="259"/>
      <c r="E128" s="259"/>
      <c r="F128" s="259"/>
      <c r="G128" s="259"/>
      <c r="H128" s="259"/>
      <c r="I128" s="198" t="s">
        <v>48</v>
      </c>
      <c r="J128" s="198" t="s">
        <v>49</v>
      </c>
      <c r="K128" s="198" t="s">
        <v>50</v>
      </c>
      <c r="L128" s="252"/>
      <c r="M128" s="252"/>
      <c r="N128" s="252"/>
    </row>
    <row r="129" spans="1:14" ht="15.6" x14ac:dyDescent="0.6">
      <c r="A129" s="252"/>
      <c r="B129" s="260" t="s">
        <v>4</v>
      </c>
      <c r="C129" s="259"/>
      <c r="D129" s="261">
        <f>$D$11</f>
        <v>6000</v>
      </c>
      <c r="E129" s="288" t="s">
        <v>212</v>
      </c>
      <c r="F129" s="348">
        <f>K45</f>
        <v>6.2645999999999997</v>
      </c>
      <c r="G129" s="263">
        <f>L45</f>
        <v>9.0337499999999995</v>
      </c>
      <c r="H129" s="264" t="s">
        <v>47</v>
      </c>
      <c r="I129" s="265">
        <f>CEILING(D129*F129*G129,10)</f>
        <v>339560</v>
      </c>
      <c r="J129" s="179">
        <f>I129/$D$5</f>
        <v>56.593333333333334</v>
      </c>
      <c r="K129" s="266">
        <f>I129/$D$4</f>
        <v>339.56</v>
      </c>
      <c r="L129" s="252"/>
      <c r="M129" s="252"/>
      <c r="N129" s="252"/>
    </row>
    <row r="130" spans="1:14" ht="15.6" x14ac:dyDescent="0.6">
      <c r="A130" s="252"/>
      <c r="B130" s="260"/>
      <c r="C130" s="259"/>
      <c r="D130" s="261"/>
      <c r="E130" s="314" t="s">
        <v>214</v>
      </c>
      <c r="F130" s="289"/>
      <c r="G130" s="263"/>
      <c r="H130" s="264"/>
      <c r="I130" s="265"/>
      <c r="J130" s="179"/>
      <c r="K130" s="266"/>
      <c r="L130" s="252"/>
      <c r="M130" s="252"/>
      <c r="N130" s="252"/>
    </row>
    <row r="131" spans="1:14" ht="15.6" x14ac:dyDescent="0.6">
      <c r="A131" s="252"/>
      <c r="B131" s="260" t="s">
        <v>22</v>
      </c>
      <c r="C131" s="259"/>
      <c r="D131" s="261"/>
      <c r="E131" s="327" t="s">
        <v>225</v>
      </c>
      <c r="F131" s="259"/>
      <c r="G131" s="259"/>
      <c r="H131" s="259"/>
      <c r="I131" s="265"/>
      <c r="J131" s="265"/>
      <c r="K131" s="265"/>
      <c r="L131" s="252"/>
      <c r="M131" s="252"/>
      <c r="N131" s="252"/>
    </row>
    <row r="132" spans="1:14" ht="15.6" x14ac:dyDescent="0.6">
      <c r="A132" s="252"/>
      <c r="B132" s="66"/>
      <c r="C132" s="267" t="s">
        <v>19</v>
      </c>
      <c r="D132" s="261">
        <f>D$17+D$11*'Step 3'!E141</f>
        <v>918</v>
      </c>
      <c r="E132" s="328">
        <f>-(D$17-D132)/D$17</f>
        <v>0.02</v>
      </c>
      <c r="F132" s="346">
        <f>G45</f>
        <v>39.4</v>
      </c>
      <c r="G132" s="259" t="s">
        <v>55</v>
      </c>
      <c r="H132" s="252"/>
      <c r="I132" s="265">
        <f>CEILING(D132*F132,10)</f>
        <v>36170</v>
      </c>
      <c r="J132" s="179">
        <f t="shared" ref="J132:J133" si="29">I132/$D$5</f>
        <v>6.0283333333333333</v>
      </c>
      <c r="K132" s="266">
        <f t="shared" ref="K132:K133" si="30">I132/$D$4</f>
        <v>36.17</v>
      </c>
      <c r="L132" s="252"/>
      <c r="M132" s="252"/>
      <c r="N132" s="252"/>
    </row>
    <row r="133" spans="1:14" ht="15.6" x14ac:dyDescent="0.6">
      <c r="A133" s="252"/>
      <c r="B133" s="66"/>
      <c r="C133" s="267" t="s">
        <v>215</v>
      </c>
      <c r="D133" s="261">
        <f>D$18+D$12*'Step 3'!E141</f>
        <v>382.5</v>
      </c>
      <c r="E133" s="328">
        <f>-(D$18-D133)/D$18</f>
        <v>0.02</v>
      </c>
      <c r="F133" s="346">
        <f>H45</f>
        <v>39.4</v>
      </c>
      <c r="G133" s="259" t="s">
        <v>55</v>
      </c>
      <c r="H133" s="252"/>
      <c r="I133" s="265">
        <f>CEILING(D133*F133,10)</f>
        <v>15080</v>
      </c>
      <c r="J133" s="179">
        <f t="shared" si="29"/>
        <v>2.5133333333333332</v>
      </c>
      <c r="K133" s="266">
        <f t="shared" si="30"/>
        <v>15.08</v>
      </c>
      <c r="L133" s="252"/>
      <c r="M133" s="252"/>
      <c r="N133" s="252"/>
    </row>
    <row r="134" spans="1:14" ht="15.6" x14ac:dyDescent="0.6">
      <c r="A134" s="252"/>
      <c r="B134" s="66"/>
      <c r="C134" s="267" t="s">
        <v>20</v>
      </c>
      <c r="D134" s="261"/>
      <c r="E134" s="326"/>
      <c r="F134" s="252"/>
      <c r="G134" s="252"/>
      <c r="H134" s="252"/>
      <c r="I134" s="127"/>
      <c r="J134" s="127"/>
      <c r="K134" s="127"/>
      <c r="L134" s="252"/>
      <c r="M134" s="252"/>
      <c r="N134" s="252"/>
    </row>
    <row r="135" spans="1:14" ht="15.6" x14ac:dyDescent="0.6">
      <c r="A135" s="252"/>
      <c r="B135" s="66"/>
      <c r="C135" s="273" t="s">
        <v>216</v>
      </c>
      <c r="D135" s="261">
        <f>D$59*D45</f>
        <v>5319</v>
      </c>
      <c r="E135" s="326"/>
      <c r="F135" s="269"/>
      <c r="G135" s="259"/>
      <c r="H135" s="252"/>
      <c r="I135" s="265"/>
      <c r="J135" s="179"/>
      <c r="K135" s="266"/>
      <c r="L135" s="252"/>
      <c r="M135" s="252"/>
      <c r="N135" s="252"/>
    </row>
    <row r="136" spans="1:14" ht="15.6" x14ac:dyDescent="0.6">
      <c r="A136" s="252"/>
      <c r="B136" s="66"/>
      <c r="C136" s="273" t="s">
        <v>98</v>
      </c>
      <c r="D136" s="261">
        <f>-D$11*E45</f>
        <v>-302.25</v>
      </c>
      <c r="E136" s="326"/>
      <c r="F136" s="269"/>
      <c r="G136" s="259"/>
      <c r="H136" s="252"/>
      <c r="I136" s="265"/>
      <c r="J136" s="179"/>
      <c r="K136" s="266"/>
      <c r="L136" s="252"/>
      <c r="M136" s="252"/>
      <c r="N136" s="252"/>
    </row>
    <row r="137" spans="1:14" ht="15.6" x14ac:dyDescent="0.6">
      <c r="A137" s="252"/>
      <c r="B137" s="66"/>
      <c r="C137" s="273" t="s">
        <v>222</v>
      </c>
      <c r="D137" s="261">
        <f>-D132</f>
        <v>-918</v>
      </c>
      <c r="E137" s="326"/>
      <c r="F137" s="269"/>
      <c r="G137" s="259"/>
      <c r="H137" s="252"/>
      <c r="I137" s="265"/>
      <c r="J137" s="179"/>
      <c r="K137" s="266"/>
      <c r="L137" s="252"/>
      <c r="M137" s="252"/>
      <c r="N137" s="252"/>
    </row>
    <row r="138" spans="1:14" ht="15.6" x14ac:dyDescent="0.6">
      <c r="A138" s="252"/>
      <c r="B138" s="66"/>
      <c r="C138" s="273" t="s">
        <v>210</v>
      </c>
      <c r="D138" s="261">
        <f>-D$12*F45</f>
        <v>-50.375</v>
      </c>
      <c r="E138" s="326"/>
      <c r="F138" s="269"/>
      <c r="G138" s="259"/>
      <c r="H138" s="252"/>
      <c r="I138" s="265"/>
      <c r="J138" s="179"/>
      <c r="K138" s="266"/>
      <c r="L138" s="252"/>
      <c r="M138" s="252"/>
      <c r="N138" s="252"/>
    </row>
    <row r="139" spans="1:14" ht="15.6" x14ac:dyDescent="0.6">
      <c r="A139" s="252"/>
      <c r="B139" s="66"/>
      <c r="C139" s="273" t="s">
        <v>217</v>
      </c>
      <c r="D139" s="285">
        <f>-D133</f>
        <v>-382.5</v>
      </c>
      <c r="E139" s="326"/>
      <c r="F139" s="269"/>
      <c r="G139" s="259"/>
      <c r="H139" s="252"/>
      <c r="I139" s="265"/>
      <c r="J139" s="179"/>
      <c r="K139" s="266"/>
      <c r="L139" s="252"/>
      <c r="M139" s="252"/>
      <c r="N139" s="252"/>
    </row>
    <row r="140" spans="1:14" ht="15.6" x14ac:dyDescent="0.6">
      <c r="A140" s="252"/>
      <c r="B140" s="66"/>
      <c r="C140" s="267"/>
      <c r="D140" s="261">
        <f>SUM(D135:D139)</f>
        <v>3665.875</v>
      </c>
      <c r="E140" s="329">
        <f>-(D$19-D140)/D$19</f>
        <v>-2.890728476821192E-2</v>
      </c>
      <c r="F140" s="263">
        <f>I45</f>
        <v>59.1</v>
      </c>
      <c r="G140" s="259" t="s">
        <v>55</v>
      </c>
      <c r="H140" s="252"/>
      <c r="I140" s="265">
        <f>D140*F140</f>
        <v>216653.21249999999</v>
      </c>
      <c r="J140" s="179">
        <f>I140/$D$5</f>
        <v>36.108868749999999</v>
      </c>
      <c r="K140" s="266">
        <f>I140/$D$4</f>
        <v>216.6532125</v>
      </c>
      <c r="L140" s="252"/>
      <c r="M140" s="252"/>
      <c r="N140" s="252"/>
    </row>
    <row r="141" spans="1:14" ht="15.6" x14ac:dyDescent="0.6">
      <c r="A141" s="252"/>
      <c r="B141" s="66"/>
      <c r="C141" s="267" t="s">
        <v>21</v>
      </c>
      <c r="D141" s="261">
        <f>D$25</f>
        <v>12</v>
      </c>
      <c r="E141" s="268" t="s">
        <v>57</v>
      </c>
      <c r="F141" s="263">
        <f>J45</f>
        <v>39.4</v>
      </c>
      <c r="G141" s="259" t="s">
        <v>55</v>
      </c>
      <c r="H141" s="252"/>
      <c r="I141" s="270">
        <f>CEILING(D141*F141,10)</f>
        <v>480</v>
      </c>
      <c r="J141" s="271">
        <f t="shared" ref="J141" si="31">I141/$D$5</f>
        <v>0.08</v>
      </c>
      <c r="K141" s="272">
        <f t="shared" ref="K141:K142" si="32">I141/$D$4</f>
        <v>0.48</v>
      </c>
      <c r="L141" s="252"/>
      <c r="M141" s="252"/>
      <c r="N141" s="252"/>
    </row>
    <row r="142" spans="1:14" ht="15.6" x14ac:dyDescent="0.6">
      <c r="A142" s="252"/>
      <c r="B142" s="66"/>
      <c r="C142" s="267"/>
      <c r="D142" s="267"/>
      <c r="E142" s="268"/>
      <c r="F142" s="268"/>
      <c r="G142" s="259"/>
      <c r="H142" s="259"/>
      <c r="I142" s="265">
        <f>SUM(I132:I141)</f>
        <v>268383.21250000002</v>
      </c>
      <c r="J142" s="179">
        <f>I142/$D$5</f>
        <v>44.730535416666669</v>
      </c>
      <c r="K142" s="266">
        <f t="shared" si="32"/>
        <v>268.38321250000001</v>
      </c>
      <c r="L142" s="252"/>
      <c r="M142" s="252"/>
      <c r="N142" s="252"/>
    </row>
    <row r="143" spans="1:14" ht="15.6" x14ac:dyDescent="0.6">
      <c r="A143" s="252"/>
      <c r="B143" s="260" t="s">
        <v>28</v>
      </c>
      <c r="C143" s="273"/>
      <c r="D143" s="273"/>
      <c r="E143" s="268"/>
      <c r="F143" s="268"/>
      <c r="G143" s="259"/>
      <c r="H143" s="259"/>
      <c r="I143" s="265"/>
      <c r="J143" s="265"/>
      <c r="K143" s="265"/>
      <c r="L143" s="252"/>
      <c r="M143" s="252"/>
      <c r="N143" s="252"/>
    </row>
    <row r="144" spans="1:14" ht="15.6" x14ac:dyDescent="0.6">
      <c r="A144" s="252"/>
      <c r="B144" s="274"/>
      <c r="C144" s="267" t="s">
        <v>1</v>
      </c>
      <c r="D144" s="261" t="s">
        <v>99</v>
      </c>
      <c r="E144" s="268"/>
      <c r="F144" s="268"/>
      <c r="G144" s="259"/>
      <c r="H144" s="259"/>
      <c r="I144" s="266">
        <v>0</v>
      </c>
      <c r="J144" s="179">
        <f t="shared" ref="J144:J147" si="33">I144/$D$5</f>
        <v>0</v>
      </c>
      <c r="K144" s="266">
        <f t="shared" ref="K144:K147" si="34">I144/$D$4</f>
        <v>0</v>
      </c>
      <c r="L144" s="252"/>
      <c r="M144" s="252"/>
      <c r="N144" s="252"/>
    </row>
    <row r="145" spans="1:14" ht="15.6" x14ac:dyDescent="0.6">
      <c r="A145" s="252"/>
      <c r="B145" s="274"/>
      <c r="C145" s="267" t="s">
        <v>133</v>
      </c>
      <c r="D145" s="261" t="s">
        <v>134</v>
      </c>
      <c r="E145" s="268"/>
      <c r="F145" s="268"/>
      <c r="G145" s="259"/>
      <c r="H145" s="259"/>
      <c r="I145" s="266">
        <v>0</v>
      </c>
      <c r="J145" s="179">
        <f t="shared" si="33"/>
        <v>0</v>
      </c>
      <c r="K145" s="266">
        <f t="shared" si="34"/>
        <v>0</v>
      </c>
      <c r="L145" s="252"/>
      <c r="M145" s="252"/>
      <c r="N145" s="252"/>
    </row>
    <row r="146" spans="1:14" ht="15.6" x14ac:dyDescent="0.6">
      <c r="A146" s="252"/>
      <c r="B146" s="274"/>
      <c r="C146" s="267" t="s">
        <v>2</v>
      </c>
      <c r="D146" s="261">
        <f>D$25</f>
        <v>12</v>
      </c>
      <c r="E146" s="268" t="s">
        <v>57</v>
      </c>
      <c r="F146" s="269">
        <f>F$25</f>
        <v>800</v>
      </c>
      <c r="G146" s="259" t="s">
        <v>58</v>
      </c>
      <c r="H146" s="259"/>
      <c r="I146" s="272">
        <f>CEILING(-D146*F146,10)</f>
        <v>-9600</v>
      </c>
      <c r="J146" s="271">
        <f t="shared" si="33"/>
        <v>-1.6</v>
      </c>
      <c r="K146" s="272">
        <f t="shared" si="34"/>
        <v>-9.6</v>
      </c>
      <c r="L146" s="252"/>
      <c r="M146" s="252"/>
      <c r="N146" s="252"/>
    </row>
    <row r="147" spans="1:14" ht="15.6" x14ac:dyDescent="0.6">
      <c r="A147" s="252"/>
      <c r="B147" s="66"/>
      <c r="C147" s="273"/>
      <c r="D147" s="273"/>
      <c r="E147" s="273"/>
      <c r="F147" s="273"/>
      <c r="G147" s="273"/>
      <c r="H147" s="273"/>
      <c r="I147" s="266">
        <f>SUM(I144:I146)</f>
        <v>-9600</v>
      </c>
      <c r="J147" s="179">
        <f t="shared" si="33"/>
        <v>-1.6</v>
      </c>
      <c r="K147" s="266">
        <f t="shared" si="34"/>
        <v>-9.6</v>
      </c>
      <c r="L147" s="252"/>
      <c r="M147" s="252"/>
      <c r="N147" s="252"/>
    </row>
    <row r="148" spans="1:14" ht="15.6" x14ac:dyDescent="0.6">
      <c r="A148" s="252"/>
      <c r="B148" s="275" t="s">
        <v>0</v>
      </c>
      <c r="C148" s="257"/>
      <c r="D148" s="257"/>
      <c r="E148" s="257"/>
      <c r="F148" s="257"/>
      <c r="G148" s="257"/>
      <c r="H148" s="257"/>
      <c r="I148" s="276">
        <f>I129+I142+I147</f>
        <v>598343.21250000002</v>
      </c>
      <c r="J148" s="277">
        <f>J129+J142+J147</f>
        <v>99.723868750000008</v>
      </c>
      <c r="K148" s="278">
        <f>K129+K142+K147</f>
        <v>598.34321250000005</v>
      </c>
      <c r="L148" s="252"/>
      <c r="M148" s="252"/>
      <c r="N148" s="252"/>
    </row>
    <row r="149" spans="1:14" ht="15.6" x14ac:dyDescent="0.6">
      <c r="A149" s="252"/>
      <c r="B149" s="66" t="s">
        <v>23</v>
      </c>
      <c r="C149" s="259"/>
      <c r="D149" s="259"/>
      <c r="E149" s="259"/>
      <c r="F149" s="259"/>
      <c r="G149" s="259"/>
      <c r="H149" s="259"/>
      <c r="I149" s="198" t="s">
        <v>48</v>
      </c>
      <c r="J149" s="198" t="s">
        <v>49</v>
      </c>
      <c r="K149" s="198" t="s">
        <v>50</v>
      </c>
      <c r="L149" s="252"/>
      <c r="M149" s="252"/>
      <c r="N149" s="252"/>
    </row>
    <row r="150" spans="1:14" ht="15.6" x14ac:dyDescent="0.6">
      <c r="A150" s="252"/>
      <c r="B150" s="260" t="s">
        <v>3</v>
      </c>
      <c r="C150" s="259"/>
      <c r="D150" s="259"/>
      <c r="E150" s="259"/>
      <c r="F150" s="259"/>
      <c r="G150" s="259"/>
      <c r="L150" s="252"/>
      <c r="M150" s="252"/>
      <c r="N150" s="252"/>
    </row>
    <row r="151" spans="1:14" ht="15.6" x14ac:dyDescent="0.6">
      <c r="A151" s="252"/>
      <c r="B151" s="260"/>
      <c r="C151" s="259" t="s">
        <v>224</v>
      </c>
      <c r="D151" s="261">
        <f>D$15</f>
        <v>10185</v>
      </c>
      <c r="E151" s="262" t="s">
        <v>57</v>
      </c>
      <c r="F151" s="263">
        <f>F$30</f>
        <v>3.5</v>
      </c>
      <c r="G151" s="264" t="s">
        <v>204</v>
      </c>
      <c r="H151" s="259"/>
      <c r="I151" s="265">
        <f>CEILING(D151*F151,10)</f>
        <v>35650</v>
      </c>
      <c r="J151" s="179">
        <f>I151/$D$5</f>
        <v>5.9416666666666664</v>
      </c>
      <c r="K151" s="266">
        <f>I151/$D$4</f>
        <v>35.65</v>
      </c>
      <c r="L151" s="252"/>
      <c r="M151" s="252"/>
      <c r="N151" s="252"/>
    </row>
    <row r="152" spans="1:14" ht="15.6" x14ac:dyDescent="0.6">
      <c r="A152" s="252"/>
      <c r="B152" s="260"/>
      <c r="C152" s="259" t="s">
        <v>135</v>
      </c>
      <c r="D152" s="261">
        <f>D135</f>
        <v>5319</v>
      </c>
      <c r="E152" s="262" t="s">
        <v>57</v>
      </c>
      <c r="F152" s="263">
        <f>F$31</f>
        <v>3.5</v>
      </c>
      <c r="G152" s="264" t="s">
        <v>204</v>
      </c>
      <c r="H152" s="259"/>
      <c r="I152" s="265">
        <f>CEILING(D152*F152,10)</f>
        <v>18620</v>
      </c>
      <c r="J152" s="179">
        <f>I152/$D$5</f>
        <v>3.1033333333333335</v>
      </c>
      <c r="K152" s="266">
        <f>I152/$D$4</f>
        <v>18.62</v>
      </c>
      <c r="L152" s="252"/>
      <c r="M152" s="252"/>
      <c r="N152" s="252"/>
    </row>
    <row r="153" spans="1:14" ht="15.6" x14ac:dyDescent="0.6">
      <c r="A153" s="252"/>
      <c r="B153" s="260" t="s">
        <v>97</v>
      </c>
      <c r="C153" s="259"/>
      <c r="D153" s="261">
        <f>D151</f>
        <v>10185</v>
      </c>
      <c r="E153" s="262" t="s">
        <v>57</v>
      </c>
      <c r="F153" s="263">
        <f>I153/D153</f>
        <v>2.903289150711831</v>
      </c>
      <c r="G153" s="264" t="s">
        <v>204</v>
      </c>
      <c r="H153" s="259"/>
      <c r="I153" s="265">
        <f>'Step 3'!E88</f>
        <v>29570</v>
      </c>
      <c r="J153" s="179">
        <f t="shared" ref="J153:J157" si="35">I153/$D$5</f>
        <v>4.9283333333333337</v>
      </c>
      <c r="K153" s="266">
        <f t="shared" ref="K153:K157" si="36">I153/$D$4</f>
        <v>29.57</v>
      </c>
      <c r="L153" s="252"/>
      <c r="M153" s="252"/>
      <c r="N153" s="252"/>
    </row>
    <row r="154" spans="1:14" ht="15.6" x14ac:dyDescent="0.6">
      <c r="A154" s="252"/>
      <c r="B154" s="260" t="s">
        <v>24</v>
      </c>
      <c r="C154" s="259"/>
      <c r="D154" s="261">
        <f>D151</f>
        <v>10185</v>
      </c>
      <c r="E154" s="262" t="str">
        <f>E151</f>
        <v>hd @</v>
      </c>
      <c r="F154" s="263">
        <f>F$33</f>
        <v>6.5</v>
      </c>
      <c r="G154" s="264" t="s">
        <v>204</v>
      </c>
      <c r="H154" s="259"/>
      <c r="I154" s="265">
        <f>CEILING(D154*F154,10)</f>
        <v>66210</v>
      </c>
      <c r="J154" s="179">
        <f t="shared" si="35"/>
        <v>11.035</v>
      </c>
      <c r="K154" s="266">
        <f t="shared" si="36"/>
        <v>66.209999999999994</v>
      </c>
      <c r="L154" s="252"/>
      <c r="M154" s="252"/>
      <c r="N154" s="252"/>
    </row>
    <row r="155" spans="1:14" ht="15.6" x14ac:dyDescent="0.6">
      <c r="A155" s="252"/>
      <c r="B155" s="260" t="s">
        <v>25</v>
      </c>
      <c r="C155" s="259"/>
      <c r="D155" s="279">
        <f>D129*F129/170</f>
        <v>221.1035294117647</v>
      </c>
      <c r="E155" s="262" t="s">
        <v>59</v>
      </c>
      <c r="F155" s="263">
        <f>F$34</f>
        <v>20</v>
      </c>
      <c r="G155" s="264" t="s">
        <v>60</v>
      </c>
      <c r="H155" s="259"/>
      <c r="I155" s="265">
        <f>CEILING(D155*F155,10)</f>
        <v>4430</v>
      </c>
      <c r="J155" s="179">
        <f t="shared" si="35"/>
        <v>0.73833333333333329</v>
      </c>
      <c r="K155" s="266">
        <f t="shared" si="36"/>
        <v>4.43</v>
      </c>
      <c r="L155" s="252"/>
      <c r="M155" s="252"/>
      <c r="N155" s="252"/>
    </row>
    <row r="156" spans="1:14" ht="15.6" x14ac:dyDescent="0.6">
      <c r="A156" s="252"/>
      <c r="B156" s="260" t="s">
        <v>26</v>
      </c>
      <c r="C156" s="259"/>
      <c r="D156" s="259"/>
      <c r="E156" s="259"/>
      <c r="F156" s="263">
        <f>F$35</f>
        <v>15</v>
      </c>
      <c r="G156" s="264" t="s">
        <v>60</v>
      </c>
      <c r="H156" s="259"/>
      <c r="I156" s="265">
        <f>CEILING(D155*F156,10)</f>
        <v>3320</v>
      </c>
      <c r="J156" s="179">
        <f t="shared" si="35"/>
        <v>0.55333333333333334</v>
      </c>
      <c r="K156" s="266">
        <f t="shared" si="36"/>
        <v>3.32</v>
      </c>
      <c r="L156" s="252"/>
      <c r="M156" s="252"/>
      <c r="N156" s="252"/>
    </row>
    <row r="157" spans="1:14" ht="15.6" x14ac:dyDescent="0.6">
      <c r="A157" s="252"/>
      <c r="B157" s="260" t="s">
        <v>27</v>
      </c>
      <c r="C157" s="259"/>
      <c r="D157" s="261">
        <f>D132+D133+D140+D141+D146</f>
        <v>4990.375</v>
      </c>
      <c r="E157" s="268" t="s">
        <v>57</v>
      </c>
      <c r="F157" s="263">
        <f>F$36</f>
        <v>2</v>
      </c>
      <c r="G157" s="264" t="s">
        <v>61</v>
      </c>
      <c r="H157" s="259"/>
      <c r="I157" s="265">
        <f>CEILING(D157*F157,10)</f>
        <v>9990</v>
      </c>
      <c r="J157" s="179">
        <f t="shared" si="35"/>
        <v>1.665</v>
      </c>
      <c r="K157" s="266">
        <f t="shared" si="36"/>
        <v>9.99</v>
      </c>
      <c r="L157" s="252"/>
      <c r="M157" s="252"/>
      <c r="N157" s="252"/>
    </row>
    <row r="158" spans="1:14" ht="15.6" x14ac:dyDescent="0.6">
      <c r="A158" s="252"/>
      <c r="B158" s="275" t="s">
        <v>41</v>
      </c>
      <c r="C158" s="257"/>
      <c r="D158" s="257"/>
      <c r="E158" s="280"/>
      <c r="F158" s="257"/>
      <c r="G158" s="257"/>
      <c r="H158" s="257"/>
      <c r="I158" s="276">
        <f>SUM(I151:I157)</f>
        <v>167790</v>
      </c>
      <c r="J158" s="277">
        <f>SUM(J151:J157)</f>
        <v>27.965</v>
      </c>
      <c r="K158" s="278">
        <f>SUM(K151:K157)</f>
        <v>167.79000000000002</v>
      </c>
      <c r="L158" s="252"/>
      <c r="M158" s="252"/>
      <c r="N158" s="252"/>
    </row>
    <row r="159" spans="1:14" ht="15.6" x14ac:dyDescent="0.6">
      <c r="A159" s="252"/>
      <c r="B159" s="281" t="s">
        <v>62</v>
      </c>
      <c r="C159" s="257"/>
      <c r="D159" s="257"/>
      <c r="E159" s="280"/>
      <c r="F159" s="257"/>
      <c r="G159" s="257"/>
      <c r="H159" s="257"/>
      <c r="I159" s="276">
        <f>I148-I158</f>
        <v>430553.21250000002</v>
      </c>
      <c r="J159" s="277">
        <f>J148-J158</f>
        <v>71.758868750000005</v>
      </c>
      <c r="K159" s="278">
        <f>K148-K158</f>
        <v>430.55321250000003</v>
      </c>
      <c r="L159" s="252"/>
      <c r="M159" s="252"/>
      <c r="N159" s="252"/>
    </row>
    <row r="160" spans="1:14" ht="15.6" x14ac:dyDescent="0.6">
      <c r="A160" s="252"/>
      <c r="B160" s="282"/>
      <c r="C160" s="255"/>
      <c r="D160" s="255"/>
      <c r="E160" s="255"/>
      <c r="F160" s="255"/>
      <c r="G160" s="255"/>
      <c r="H160" s="255"/>
      <c r="I160" s="255"/>
      <c r="J160" s="255"/>
      <c r="K160" s="255"/>
      <c r="L160" s="252"/>
      <c r="M160" s="252"/>
      <c r="N160" s="252"/>
    </row>
    <row r="161" spans="1:14" ht="18.3" x14ac:dyDescent="0.7">
      <c r="A161" s="252"/>
      <c r="B161" s="253" t="s">
        <v>229</v>
      </c>
      <c r="C161" s="252"/>
      <c r="D161" s="252"/>
      <c r="E161" s="252"/>
      <c r="F161" s="252"/>
      <c r="G161" s="252"/>
      <c r="H161" s="252"/>
      <c r="I161" s="252"/>
      <c r="J161" s="252"/>
      <c r="K161" s="252"/>
      <c r="L161" s="252"/>
      <c r="M161" s="252"/>
      <c r="N161" s="252"/>
    </row>
    <row r="162" spans="1:14" ht="17.7" x14ac:dyDescent="0.6">
      <c r="A162" s="252"/>
      <c r="B162" s="256"/>
      <c r="C162" s="257"/>
      <c r="D162" s="257"/>
      <c r="E162" s="257"/>
      <c r="F162" s="257"/>
      <c r="G162" s="257"/>
      <c r="H162" s="257"/>
      <c r="I162" s="258" t="s">
        <v>46</v>
      </c>
      <c r="J162" s="258" t="s">
        <v>78</v>
      </c>
      <c r="K162" s="258" t="s">
        <v>87</v>
      </c>
      <c r="L162" s="252"/>
      <c r="M162" s="252"/>
      <c r="N162" s="252"/>
    </row>
    <row r="163" spans="1:14" ht="15.6" x14ac:dyDescent="0.6">
      <c r="A163" s="252"/>
      <c r="B163" s="66" t="s">
        <v>18</v>
      </c>
      <c r="C163" s="259"/>
      <c r="D163" s="259"/>
      <c r="E163" s="259"/>
      <c r="F163" s="259"/>
      <c r="G163" s="259"/>
      <c r="H163" s="259"/>
      <c r="I163" s="198" t="s">
        <v>48</v>
      </c>
      <c r="J163" s="198" t="s">
        <v>49</v>
      </c>
      <c r="K163" s="198" t="s">
        <v>50</v>
      </c>
      <c r="L163" s="252"/>
      <c r="M163" s="252"/>
      <c r="N163" s="252"/>
    </row>
    <row r="164" spans="1:14" ht="15.6" x14ac:dyDescent="0.6">
      <c r="A164" s="252"/>
      <c r="B164" s="260" t="s">
        <v>4</v>
      </c>
      <c r="C164" s="259"/>
      <c r="D164" s="261">
        <f>$D$11</f>
        <v>6000</v>
      </c>
      <c r="E164" s="288" t="s">
        <v>212</v>
      </c>
      <c r="F164" s="325">
        <f>K46</f>
        <v>6.2964000000000002</v>
      </c>
      <c r="G164" s="263">
        <f>L46</f>
        <v>9.0224999999999991</v>
      </c>
      <c r="H164" s="264" t="s">
        <v>47</v>
      </c>
      <c r="I164" s="265">
        <f>CEILING(D164*F164*G164,10)</f>
        <v>340860</v>
      </c>
      <c r="J164" s="179">
        <f>I164/$D$5</f>
        <v>56.81</v>
      </c>
      <c r="K164" s="266">
        <f>I164/$D$4</f>
        <v>340.86</v>
      </c>
      <c r="L164" s="252"/>
      <c r="M164" s="252"/>
      <c r="N164" s="252"/>
    </row>
    <row r="165" spans="1:14" ht="15.6" x14ac:dyDescent="0.6">
      <c r="A165" s="252"/>
      <c r="B165" s="260"/>
      <c r="C165" s="259"/>
      <c r="D165" s="261"/>
      <c r="E165" s="314" t="s">
        <v>214</v>
      </c>
      <c r="F165" s="289"/>
      <c r="G165" s="263"/>
      <c r="H165" s="264"/>
      <c r="I165" s="265"/>
      <c r="J165" s="179"/>
      <c r="K165" s="266"/>
      <c r="L165" s="252"/>
      <c r="M165" s="252"/>
      <c r="N165" s="252"/>
    </row>
    <row r="166" spans="1:14" ht="15.6" x14ac:dyDescent="0.6">
      <c r="A166" s="252"/>
      <c r="B166" s="260" t="s">
        <v>22</v>
      </c>
      <c r="C166" s="259"/>
      <c r="D166" s="261"/>
      <c r="E166" s="327" t="s">
        <v>225</v>
      </c>
      <c r="F166" s="259"/>
      <c r="G166" s="259"/>
      <c r="H166" s="259"/>
      <c r="I166" s="265"/>
      <c r="J166" s="265"/>
      <c r="K166" s="265"/>
      <c r="L166" s="252"/>
      <c r="M166" s="252"/>
      <c r="N166" s="252"/>
    </row>
    <row r="167" spans="1:14" ht="15.6" x14ac:dyDescent="0.6">
      <c r="A167" s="252"/>
      <c r="B167" s="66"/>
      <c r="C167" s="267" t="s">
        <v>19</v>
      </c>
      <c r="D167" s="261">
        <f>D$17+D$11*'Step 3'!E142</f>
        <v>912</v>
      </c>
      <c r="E167" s="328">
        <f>-(D$17-D167)/D$17</f>
        <v>1.3333333333333334E-2</v>
      </c>
      <c r="F167" s="346">
        <f>G46</f>
        <v>39.6</v>
      </c>
      <c r="G167" s="259" t="s">
        <v>55</v>
      </c>
      <c r="H167" s="252"/>
      <c r="I167" s="265">
        <f>CEILING(D167*F167,10)</f>
        <v>36120</v>
      </c>
      <c r="J167" s="179">
        <f t="shared" ref="J167:J168" si="37">I167/$D$5</f>
        <v>6.02</v>
      </c>
      <c r="K167" s="266">
        <f t="shared" ref="K167:K168" si="38">I167/$D$4</f>
        <v>36.119999999999997</v>
      </c>
      <c r="L167" s="252"/>
      <c r="M167" s="252"/>
      <c r="N167" s="252"/>
    </row>
    <row r="168" spans="1:14" ht="15.6" x14ac:dyDescent="0.6">
      <c r="A168" s="252"/>
      <c r="B168" s="66"/>
      <c r="C168" s="267" t="s">
        <v>215</v>
      </c>
      <c r="D168" s="261">
        <f>D$18+D$12*'Step 3'!E142</f>
        <v>380</v>
      </c>
      <c r="E168" s="328">
        <f>-(D$18-D168)/D$18</f>
        <v>1.3333333333333334E-2</v>
      </c>
      <c r="F168" s="346">
        <f>H46</f>
        <v>39.6</v>
      </c>
      <c r="G168" s="259" t="s">
        <v>55</v>
      </c>
      <c r="H168" s="252"/>
      <c r="I168" s="265">
        <f>CEILING(D168*F168,10)</f>
        <v>15050</v>
      </c>
      <c r="J168" s="179">
        <f t="shared" si="37"/>
        <v>2.5083333333333333</v>
      </c>
      <c r="K168" s="266">
        <f t="shared" si="38"/>
        <v>15.05</v>
      </c>
      <c r="L168" s="252"/>
      <c r="M168" s="252"/>
      <c r="N168" s="252"/>
    </row>
    <row r="169" spans="1:14" ht="15.6" x14ac:dyDescent="0.6">
      <c r="A169" s="252"/>
      <c r="B169" s="66"/>
      <c r="C169" s="267" t="s">
        <v>20</v>
      </c>
      <c r="D169" s="261"/>
      <c r="E169" s="326"/>
      <c r="F169" s="326"/>
      <c r="G169" s="326"/>
      <c r="I169" s="127"/>
      <c r="J169" s="127"/>
      <c r="K169" s="127"/>
      <c r="L169" s="252"/>
      <c r="M169" s="252"/>
      <c r="N169" s="252"/>
    </row>
    <row r="170" spans="1:14" ht="15.6" x14ac:dyDescent="0.6">
      <c r="A170" s="252"/>
      <c r="B170" s="66"/>
      <c r="C170" s="273" t="s">
        <v>216</v>
      </c>
      <c r="D170" s="261">
        <f>D$59*D46</f>
        <v>5346</v>
      </c>
      <c r="E170" s="326"/>
      <c r="F170" s="269"/>
      <c r="G170" s="259"/>
      <c r="H170" s="252"/>
      <c r="I170" s="265"/>
      <c r="J170" s="179"/>
      <c r="K170" s="266"/>
      <c r="L170" s="252"/>
      <c r="M170" s="252"/>
      <c r="N170" s="252"/>
    </row>
    <row r="171" spans="1:14" ht="15.6" x14ac:dyDescent="0.6">
      <c r="A171" s="252"/>
      <c r="B171" s="66"/>
      <c r="C171" s="273" t="s">
        <v>98</v>
      </c>
      <c r="D171" s="261">
        <f>-D$11*E46</f>
        <v>-301.5</v>
      </c>
      <c r="E171" s="326"/>
      <c r="F171" s="269"/>
      <c r="G171" s="259"/>
      <c r="H171" s="252"/>
      <c r="I171" s="265"/>
      <c r="J171" s="179"/>
      <c r="K171" s="266"/>
      <c r="L171" s="252"/>
      <c r="M171" s="252"/>
      <c r="N171" s="252"/>
    </row>
    <row r="172" spans="1:14" ht="15.6" x14ac:dyDescent="0.6">
      <c r="A172" s="252"/>
      <c r="B172" s="66"/>
      <c r="C172" s="273" t="s">
        <v>222</v>
      </c>
      <c r="D172" s="261">
        <f>-D167</f>
        <v>-912</v>
      </c>
      <c r="E172" s="326"/>
      <c r="F172" s="269"/>
      <c r="G172" s="259"/>
      <c r="H172" s="252"/>
      <c r="I172" s="265"/>
      <c r="J172" s="179"/>
      <c r="K172" s="266"/>
      <c r="L172" s="252"/>
      <c r="M172" s="252"/>
      <c r="N172" s="252"/>
    </row>
    <row r="173" spans="1:14" ht="15.6" x14ac:dyDescent="0.6">
      <c r="A173" s="252"/>
      <c r="B173" s="66"/>
      <c r="C173" s="273" t="s">
        <v>210</v>
      </c>
      <c r="D173" s="261">
        <f>-D$12*F46</f>
        <v>-50.250000000000007</v>
      </c>
      <c r="E173" s="326"/>
      <c r="F173" s="269"/>
      <c r="G173" s="259"/>
      <c r="H173" s="252"/>
      <c r="I173" s="265"/>
      <c r="J173" s="179"/>
      <c r="K173" s="266"/>
      <c r="L173" s="252"/>
      <c r="M173" s="252"/>
      <c r="N173" s="252"/>
    </row>
    <row r="174" spans="1:14" ht="15.6" x14ac:dyDescent="0.6">
      <c r="A174" s="252"/>
      <c r="B174" s="66"/>
      <c r="C174" s="273" t="s">
        <v>217</v>
      </c>
      <c r="D174" s="285">
        <f>-D168</f>
        <v>-380</v>
      </c>
      <c r="E174" s="326"/>
      <c r="F174" s="269"/>
      <c r="G174" s="259"/>
      <c r="H174" s="252"/>
      <c r="I174" s="265"/>
      <c r="J174" s="179"/>
      <c r="K174" s="266"/>
      <c r="L174" s="252"/>
      <c r="M174" s="252"/>
      <c r="N174" s="252"/>
    </row>
    <row r="175" spans="1:14" ht="15.6" x14ac:dyDescent="0.6">
      <c r="A175" s="252"/>
      <c r="B175" s="66"/>
      <c r="C175" s="267"/>
      <c r="D175" s="261">
        <f>SUM(D170:D174)</f>
        <v>3702.25</v>
      </c>
      <c r="E175" s="329">
        <f>-(D$19-D175)/D$19</f>
        <v>-1.9271523178807946E-2</v>
      </c>
      <c r="F175" s="346">
        <f>I46</f>
        <v>59.4</v>
      </c>
      <c r="G175" s="259" t="s">
        <v>55</v>
      </c>
      <c r="H175" s="252"/>
      <c r="I175" s="265">
        <f>D175*F175</f>
        <v>219913.65</v>
      </c>
      <c r="J175" s="179">
        <f>I175/$D$5</f>
        <v>36.652274999999996</v>
      </c>
      <c r="K175" s="266">
        <f>I175/$D$4</f>
        <v>219.91364999999999</v>
      </c>
      <c r="L175" s="252"/>
      <c r="M175" s="252"/>
      <c r="N175" s="252"/>
    </row>
    <row r="176" spans="1:14" ht="15.6" x14ac:dyDescent="0.6">
      <c r="A176" s="252"/>
      <c r="B176" s="66"/>
      <c r="C176" s="267" t="s">
        <v>21</v>
      </c>
      <c r="D176" s="261">
        <f>D$25</f>
        <v>12</v>
      </c>
      <c r="E176" s="268" t="s">
        <v>57</v>
      </c>
      <c r="F176" s="346">
        <f>J46</f>
        <v>39.6</v>
      </c>
      <c r="G176" s="259" t="s">
        <v>55</v>
      </c>
      <c r="H176" s="252"/>
      <c r="I176" s="270">
        <f>CEILING(D176*F176,10)</f>
        <v>480</v>
      </c>
      <c r="J176" s="271">
        <f t="shared" ref="J176" si="39">I176/$D$5</f>
        <v>0.08</v>
      </c>
      <c r="K176" s="272">
        <f t="shared" ref="K176:K177" si="40">I176/$D$4</f>
        <v>0.48</v>
      </c>
      <c r="L176" s="252"/>
      <c r="M176" s="252"/>
      <c r="N176" s="252"/>
    </row>
    <row r="177" spans="1:14" ht="15.6" x14ac:dyDescent="0.6">
      <c r="A177" s="252"/>
      <c r="B177" s="66"/>
      <c r="C177" s="267"/>
      <c r="D177" s="267"/>
      <c r="E177" s="268"/>
      <c r="F177" s="268"/>
      <c r="G177" s="259"/>
      <c r="H177" s="259"/>
      <c r="I177" s="265">
        <f>SUM(I167:I176)</f>
        <v>271563.65000000002</v>
      </c>
      <c r="J177" s="179">
        <f>I177/$D$5</f>
        <v>45.260608333333337</v>
      </c>
      <c r="K177" s="266">
        <f t="shared" si="40"/>
        <v>271.56365</v>
      </c>
      <c r="L177" s="252"/>
      <c r="M177" s="252"/>
      <c r="N177" s="252"/>
    </row>
    <row r="178" spans="1:14" ht="15.6" x14ac:dyDescent="0.6">
      <c r="A178" s="252"/>
      <c r="B178" s="260" t="s">
        <v>28</v>
      </c>
      <c r="C178" s="273"/>
      <c r="D178" s="273"/>
      <c r="E178" s="268"/>
      <c r="F178" s="268"/>
      <c r="G178" s="259"/>
      <c r="H178" s="259"/>
      <c r="I178" s="265"/>
      <c r="J178" s="265"/>
      <c r="K178" s="265"/>
      <c r="L178" s="252"/>
      <c r="M178" s="252"/>
      <c r="N178" s="252"/>
    </row>
    <row r="179" spans="1:14" ht="15.6" x14ac:dyDescent="0.6">
      <c r="A179" s="252"/>
      <c r="B179" s="274"/>
      <c r="C179" s="267" t="s">
        <v>1</v>
      </c>
      <c r="D179" s="261" t="s">
        <v>99</v>
      </c>
      <c r="E179" s="268"/>
      <c r="F179" s="268"/>
      <c r="G179" s="259"/>
      <c r="H179" s="259"/>
      <c r="I179" s="266">
        <v>0</v>
      </c>
      <c r="J179" s="179">
        <f t="shared" ref="J179:J182" si="41">I179/$D$5</f>
        <v>0</v>
      </c>
      <c r="K179" s="266">
        <f t="shared" ref="K179:K182" si="42">I179/$D$4</f>
        <v>0</v>
      </c>
      <c r="L179" s="252"/>
      <c r="M179" s="252"/>
      <c r="N179" s="252"/>
    </row>
    <row r="180" spans="1:14" ht="15.6" x14ac:dyDescent="0.6">
      <c r="A180" s="252"/>
      <c r="B180" s="274"/>
      <c r="C180" s="267" t="s">
        <v>133</v>
      </c>
      <c r="D180" s="261" t="s">
        <v>134</v>
      </c>
      <c r="E180" s="268"/>
      <c r="F180" s="268"/>
      <c r="G180" s="259"/>
      <c r="H180" s="259"/>
      <c r="I180" s="266">
        <v>0</v>
      </c>
      <c r="J180" s="179">
        <f t="shared" si="41"/>
        <v>0</v>
      </c>
      <c r="K180" s="266">
        <f t="shared" si="42"/>
        <v>0</v>
      </c>
      <c r="L180" s="252"/>
      <c r="M180" s="252"/>
      <c r="N180" s="252"/>
    </row>
    <row r="181" spans="1:14" ht="15.6" x14ac:dyDescent="0.6">
      <c r="A181" s="252"/>
      <c r="B181" s="274"/>
      <c r="C181" s="267" t="s">
        <v>2</v>
      </c>
      <c r="D181" s="261">
        <f>D$25</f>
        <v>12</v>
      </c>
      <c r="E181" s="268" t="s">
        <v>57</v>
      </c>
      <c r="F181" s="269">
        <f>F$25</f>
        <v>800</v>
      </c>
      <c r="G181" s="259" t="s">
        <v>58</v>
      </c>
      <c r="H181" s="259"/>
      <c r="I181" s="272">
        <f>CEILING(-D181*F181,10)</f>
        <v>-9600</v>
      </c>
      <c r="J181" s="271">
        <f t="shared" si="41"/>
        <v>-1.6</v>
      </c>
      <c r="K181" s="272">
        <f t="shared" si="42"/>
        <v>-9.6</v>
      </c>
      <c r="L181" s="252"/>
      <c r="M181" s="252"/>
      <c r="N181" s="252"/>
    </row>
    <row r="182" spans="1:14" ht="15.6" x14ac:dyDescent="0.6">
      <c r="A182" s="252"/>
      <c r="B182" s="66"/>
      <c r="C182" s="273"/>
      <c r="D182" s="273"/>
      <c r="E182" s="273"/>
      <c r="F182" s="273"/>
      <c r="G182" s="273"/>
      <c r="H182" s="273"/>
      <c r="I182" s="266">
        <f>SUM(I179:I181)</f>
        <v>-9600</v>
      </c>
      <c r="J182" s="179">
        <f t="shared" si="41"/>
        <v>-1.6</v>
      </c>
      <c r="K182" s="266">
        <f t="shared" si="42"/>
        <v>-9.6</v>
      </c>
      <c r="L182" s="252"/>
      <c r="M182" s="252"/>
      <c r="N182" s="252"/>
    </row>
    <row r="183" spans="1:14" ht="15.6" x14ac:dyDescent="0.6">
      <c r="A183" s="252"/>
      <c r="B183" s="275" t="s">
        <v>0</v>
      </c>
      <c r="C183" s="257"/>
      <c r="D183" s="257"/>
      <c r="E183" s="257"/>
      <c r="F183" s="257"/>
      <c r="G183" s="257"/>
      <c r="H183" s="257"/>
      <c r="I183" s="276">
        <f>I164+I177+I182</f>
        <v>602823.65</v>
      </c>
      <c r="J183" s="277">
        <f>J164+J177+J182</f>
        <v>100.47060833333335</v>
      </c>
      <c r="K183" s="278">
        <f>K164+K177+K182</f>
        <v>602.82364999999993</v>
      </c>
      <c r="L183" s="252"/>
      <c r="M183" s="252"/>
      <c r="N183" s="252"/>
    </row>
    <row r="184" spans="1:14" ht="15.6" x14ac:dyDescent="0.6">
      <c r="A184" s="252"/>
      <c r="B184" s="66" t="s">
        <v>23</v>
      </c>
      <c r="C184" s="259"/>
      <c r="D184" s="259"/>
      <c r="E184" s="259"/>
      <c r="F184" s="259"/>
      <c r="G184" s="259"/>
      <c r="H184" s="259"/>
      <c r="I184" s="198" t="s">
        <v>48</v>
      </c>
      <c r="J184" s="198" t="s">
        <v>49</v>
      </c>
      <c r="K184" s="198" t="s">
        <v>50</v>
      </c>
      <c r="L184" s="252"/>
      <c r="M184" s="252"/>
      <c r="N184" s="252"/>
    </row>
    <row r="185" spans="1:14" ht="15.6" x14ac:dyDescent="0.6">
      <c r="A185" s="252"/>
      <c r="B185" s="260" t="s">
        <v>3</v>
      </c>
      <c r="C185" s="259"/>
      <c r="D185" s="259"/>
      <c r="E185" s="259"/>
      <c r="F185" s="259"/>
      <c r="G185" s="259"/>
      <c r="L185" s="252"/>
      <c r="M185" s="252"/>
      <c r="N185" s="252"/>
    </row>
    <row r="186" spans="1:14" ht="15.6" x14ac:dyDescent="0.6">
      <c r="A186" s="252"/>
      <c r="B186" s="260"/>
      <c r="C186" s="259" t="s">
        <v>224</v>
      </c>
      <c r="D186" s="261">
        <f>D$15</f>
        <v>10185</v>
      </c>
      <c r="E186" s="262" t="s">
        <v>57</v>
      </c>
      <c r="F186" s="263">
        <f>F$30</f>
        <v>3.5</v>
      </c>
      <c r="G186" s="264" t="s">
        <v>204</v>
      </c>
      <c r="H186" s="259"/>
      <c r="I186" s="265">
        <f>CEILING(D186*F186,10)</f>
        <v>35650</v>
      </c>
      <c r="J186" s="179">
        <f>I186/$D$5</f>
        <v>5.9416666666666664</v>
      </c>
      <c r="K186" s="266">
        <f>I186/$D$4</f>
        <v>35.65</v>
      </c>
      <c r="L186" s="252"/>
      <c r="M186" s="252"/>
      <c r="N186" s="252"/>
    </row>
    <row r="187" spans="1:14" ht="15.6" x14ac:dyDescent="0.6">
      <c r="A187" s="252"/>
      <c r="B187" s="260"/>
      <c r="C187" s="259" t="s">
        <v>135</v>
      </c>
      <c r="D187" s="261">
        <f>D170</f>
        <v>5346</v>
      </c>
      <c r="E187" s="262" t="s">
        <v>57</v>
      </c>
      <c r="F187" s="263">
        <f>F$31</f>
        <v>3.5</v>
      </c>
      <c r="G187" s="264" t="s">
        <v>204</v>
      </c>
      <c r="H187" s="259"/>
      <c r="I187" s="265">
        <f>CEILING(D187*F187,10)</f>
        <v>18720</v>
      </c>
      <c r="J187" s="179">
        <f>I187/$D$5</f>
        <v>3.12</v>
      </c>
      <c r="K187" s="266">
        <f>I187/$D$4</f>
        <v>18.72</v>
      </c>
      <c r="L187" s="252"/>
      <c r="M187" s="252"/>
      <c r="N187" s="252"/>
    </row>
    <row r="188" spans="1:14" ht="15.6" x14ac:dyDescent="0.6">
      <c r="A188" s="252"/>
      <c r="B188" s="260" t="s">
        <v>97</v>
      </c>
      <c r="C188" s="259"/>
      <c r="D188" s="261">
        <f>D186</f>
        <v>10185</v>
      </c>
      <c r="E188" s="262" t="s">
        <v>57</v>
      </c>
      <c r="F188" s="263">
        <f>I188/D188</f>
        <v>2.903289150711831</v>
      </c>
      <c r="G188" s="264" t="s">
        <v>204</v>
      </c>
      <c r="H188" s="259"/>
      <c r="I188" s="265">
        <f>'Step 3'!E89</f>
        <v>29570</v>
      </c>
      <c r="J188" s="179">
        <f t="shared" ref="J188:J192" si="43">I188/$D$5</f>
        <v>4.9283333333333337</v>
      </c>
      <c r="K188" s="266">
        <f t="shared" ref="K188:K192" si="44">I188/$D$4</f>
        <v>29.57</v>
      </c>
      <c r="L188" s="252"/>
      <c r="M188" s="252"/>
      <c r="N188" s="252"/>
    </row>
    <row r="189" spans="1:14" ht="15.6" x14ac:dyDescent="0.6">
      <c r="A189" s="252"/>
      <c r="B189" s="260" t="s">
        <v>24</v>
      </c>
      <c r="C189" s="259"/>
      <c r="D189" s="261">
        <f>D186</f>
        <v>10185</v>
      </c>
      <c r="E189" s="262" t="str">
        <f>E186</f>
        <v>hd @</v>
      </c>
      <c r="F189" s="263">
        <f>F$33</f>
        <v>6.5</v>
      </c>
      <c r="G189" s="264" t="s">
        <v>204</v>
      </c>
      <c r="H189" s="259"/>
      <c r="I189" s="265">
        <f>CEILING(D189*F189,10)</f>
        <v>66210</v>
      </c>
      <c r="J189" s="179">
        <f t="shared" si="43"/>
        <v>11.035</v>
      </c>
      <c r="K189" s="266">
        <f t="shared" si="44"/>
        <v>66.209999999999994</v>
      </c>
      <c r="L189" s="252"/>
      <c r="M189" s="252"/>
      <c r="N189" s="252"/>
    </row>
    <row r="190" spans="1:14" ht="15.6" x14ac:dyDescent="0.6">
      <c r="A190" s="252"/>
      <c r="B190" s="260" t="s">
        <v>25</v>
      </c>
      <c r="C190" s="259"/>
      <c r="D190" s="279">
        <f>D164*F164/170</f>
        <v>222.2258823529412</v>
      </c>
      <c r="E190" s="262" t="s">
        <v>59</v>
      </c>
      <c r="F190" s="263">
        <f>F$34</f>
        <v>20</v>
      </c>
      <c r="G190" s="264" t="s">
        <v>60</v>
      </c>
      <c r="H190" s="259"/>
      <c r="I190" s="265">
        <f>CEILING(D190*F190,10)</f>
        <v>4450</v>
      </c>
      <c r="J190" s="179">
        <f t="shared" si="43"/>
        <v>0.7416666666666667</v>
      </c>
      <c r="K190" s="266">
        <f t="shared" si="44"/>
        <v>4.45</v>
      </c>
      <c r="L190" s="252"/>
      <c r="M190" s="252"/>
      <c r="N190" s="252"/>
    </row>
    <row r="191" spans="1:14" ht="15.6" x14ac:dyDescent="0.6">
      <c r="A191" s="252"/>
      <c r="B191" s="260" t="s">
        <v>26</v>
      </c>
      <c r="C191" s="259"/>
      <c r="D191" s="259"/>
      <c r="E191" s="259"/>
      <c r="F191" s="263">
        <f>F$35</f>
        <v>15</v>
      </c>
      <c r="G191" s="264" t="s">
        <v>60</v>
      </c>
      <c r="H191" s="259"/>
      <c r="I191" s="265">
        <f>CEILING(D190*F191,10)</f>
        <v>3340</v>
      </c>
      <c r="J191" s="179">
        <f t="shared" si="43"/>
        <v>0.55666666666666664</v>
      </c>
      <c r="K191" s="266">
        <f t="shared" si="44"/>
        <v>3.34</v>
      </c>
      <c r="L191" s="252"/>
      <c r="M191" s="252"/>
      <c r="N191" s="252"/>
    </row>
    <row r="192" spans="1:14" ht="15.6" x14ac:dyDescent="0.6">
      <c r="A192" s="252"/>
      <c r="B192" s="260" t="s">
        <v>27</v>
      </c>
      <c r="C192" s="259"/>
      <c r="D192" s="261">
        <f>D167+D168+D175+D176+D181</f>
        <v>5018.25</v>
      </c>
      <c r="E192" s="268" t="s">
        <v>57</v>
      </c>
      <c r="F192" s="263">
        <f>F$36</f>
        <v>2</v>
      </c>
      <c r="G192" s="264" t="s">
        <v>61</v>
      </c>
      <c r="H192" s="259"/>
      <c r="I192" s="265">
        <f>CEILING(D192*F192,10)</f>
        <v>10040</v>
      </c>
      <c r="J192" s="179">
        <f t="shared" si="43"/>
        <v>1.6733333333333333</v>
      </c>
      <c r="K192" s="266">
        <f t="shared" si="44"/>
        <v>10.039999999999999</v>
      </c>
      <c r="L192" s="252"/>
      <c r="M192" s="252"/>
      <c r="N192" s="252"/>
    </row>
    <row r="193" spans="1:14" ht="15.6" x14ac:dyDescent="0.6">
      <c r="A193" s="252"/>
      <c r="B193" s="275" t="s">
        <v>41</v>
      </c>
      <c r="C193" s="257"/>
      <c r="D193" s="257"/>
      <c r="E193" s="280"/>
      <c r="F193" s="257"/>
      <c r="G193" s="257"/>
      <c r="H193" s="257"/>
      <c r="I193" s="276">
        <f>SUM(I186:I192)</f>
        <v>167980</v>
      </c>
      <c r="J193" s="277">
        <f>SUM(J186:J192)</f>
        <v>27.99666666666667</v>
      </c>
      <c r="K193" s="278">
        <f>SUM(K186:K192)</f>
        <v>167.97999999999996</v>
      </c>
      <c r="L193" s="252"/>
      <c r="M193" s="252"/>
      <c r="N193" s="252"/>
    </row>
    <row r="194" spans="1:14" ht="15.6" x14ac:dyDescent="0.6">
      <c r="A194" s="252"/>
      <c r="B194" s="281" t="s">
        <v>62</v>
      </c>
      <c r="C194" s="257"/>
      <c r="D194" s="257"/>
      <c r="E194" s="280"/>
      <c r="F194" s="257"/>
      <c r="G194" s="257"/>
      <c r="H194" s="257"/>
      <c r="I194" s="276">
        <f>I183-I193</f>
        <v>434843.65</v>
      </c>
      <c r="J194" s="277">
        <f>J183-J193</f>
        <v>72.473941666666676</v>
      </c>
      <c r="K194" s="278">
        <f>K183-K193</f>
        <v>434.84364999999997</v>
      </c>
      <c r="L194" s="252"/>
      <c r="M194" s="252"/>
      <c r="N194" s="252"/>
    </row>
    <row r="195" spans="1:14" ht="15.6" x14ac:dyDescent="0.6">
      <c r="A195" s="252"/>
      <c r="B195" s="282"/>
      <c r="C195" s="255"/>
      <c r="D195" s="255"/>
      <c r="E195" s="255"/>
      <c r="F195" s="255"/>
      <c r="G195" s="255"/>
      <c r="H195" s="255"/>
      <c r="I195" s="255"/>
      <c r="J195" s="255"/>
      <c r="K195" s="255"/>
      <c r="L195" s="252"/>
      <c r="M195" s="252"/>
      <c r="N195" s="252"/>
    </row>
    <row r="196" spans="1:14" ht="18.3" x14ac:dyDescent="0.7">
      <c r="A196" s="252"/>
      <c r="B196" s="253" t="s">
        <v>230</v>
      </c>
      <c r="C196" s="252"/>
      <c r="D196" s="252"/>
      <c r="E196" s="252"/>
      <c r="F196" s="252"/>
      <c r="G196" s="252"/>
      <c r="H196" s="252"/>
      <c r="I196" s="252"/>
      <c r="J196" s="252"/>
      <c r="K196" s="252"/>
      <c r="L196" s="252"/>
      <c r="M196" s="252"/>
      <c r="N196" s="252"/>
    </row>
    <row r="197" spans="1:14" ht="17.7" x14ac:dyDescent="0.6">
      <c r="A197" s="252"/>
      <c r="B197" s="256"/>
      <c r="C197" s="257"/>
      <c r="D197" s="257"/>
      <c r="E197" s="257"/>
      <c r="F197" s="257"/>
      <c r="G197" s="257"/>
      <c r="H197" s="257"/>
      <c r="I197" s="258" t="s">
        <v>46</v>
      </c>
      <c r="J197" s="258" t="s">
        <v>78</v>
      </c>
      <c r="K197" s="258" t="s">
        <v>87</v>
      </c>
      <c r="L197" s="252"/>
      <c r="M197" s="252"/>
      <c r="N197" s="252"/>
    </row>
    <row r="198" spans="1:14" ht="15.6" x14ac:dyDescent="0.6">
      <c r="A198" s="252"/>
      <c r="B198" s="66" t="s">
        <v>18</v>
      </c>
      <c r="C198" s="259"/>
      <c r="D198" s="259"/>
      <c r="E198" s="259"/>
      <c r="F198" s="259"/>
      <c r="G198" s="259"/>
      <c r="H198" s="259"/>
      <c r="I198" s="198" t="s">
        <v>48</v>
      </c>
      <c r="J198" s="198" t="s">
        <v>49</v>
      </c>
      <c r="K198" s="198" t="s">
        <v>50</v>
      </c>
      <c r="L198" s="252"/>
      <c r="M198" s="252"/>
      <c r="N198" s="252"/>
    </row>
    <row r="199" spans="1:14" ht="15.6" x14ac:dyDescent="0.6">
      <c r="A199" s="252"/>
      <c r="B199" s="260" t="s">
        <v>4</v>
      </c>
      <c r="C199" s="259"/>
      <c r="D199" s="261">
        <f>$D$11</f>
        <v>6000</v>
      </c>
      <c r="E199" s="288" t="s">
        <v>212</v>
      </c>
      <c r="F199" s="325">
        <f>K47</f>
        <v>6.2964000000000002</v>
      </c>
      <c r="G199" s="263">
        <f>L47</f>
        <v>9.0224999999999991</v>
      </c>
      <c r="H199" s="264" t="s">
        <v>47</v>
      </c>
      <c r="I199" s="265">
        <f>CEILING(D199*F199*G199,10)</f>
        <v>340860</v>
      </c>
      <c r="J199" s="179">
        <f>I199/$D$5</f>
        <v>56.81</v>
      </c>
      <c r="K199" s="266">
        <f>I199/$D$4</f>
        <v>340.86</v>
      </c>
      <c r="L199" s="252"/>
      <c r="M199" s="252"/>
      <c r="N199" s="252"/>
    </row>
    <row r="200" spans="1:14" ht="15.6" x14ac:dyDescent="0.6">
      <c r="A200" s="252"/>
      <c r="B200" s="260"/>
      <c r="C200" s="259"/>
      <c r="D200" s="261"/>
      <c r="E200" s="314" t="s">
        <v>214</v>
      </c>
      <c r="F200" s="289"/>
      <c r="G200" s="263"/>
      <c r="H200" s="264"/>
      <c r="I200" s="265"/>
      <c r="J200" s="179"/>
      <c r="K200" s="266"/>
      <c r="L200" s="252"/>
      <c r="M200" s="252"/>
      <c r="N200" s="252"/>
    </row>
    <row r="201" spans="1:14" ht="15.6" x14ac:dyDescent="0.6">
      <c r="A201" s="252"/>
      <c r="B201" s="260" t="s">
        <v>22</v>
      </c>
      <c r="C201" s="259"/>
      <c r="D201" s="261"/>
      <c r="E201" s="327" t="s">
        <v>225</v>
      </c>
      <c r="F201" s="259"/>
      <c r="G201" s="259"/>
      <c r="H201" s="259"/>
      <c r="I201" s="265"/>
      <c r="J201" s="265"/>
      <c r="K201" s="265"/>
      <c r="L201" s="252"/>
      <c r="M201" s="252"/>
      <c r="N201" s="252"/>
    </row>
    <row r="202" spans="1:14" ht="15.6" x14ac:dyDescent="0.6">
      <c r="A202" s="252"/>
      <c r="B202" s="66"/>
      <c r="C202" s="267" t="s">
        <v>19</v>
      </c>
      <c r="D202" s="261">
        <f>D$17+D$11*'Step 3'!E143</f>
        <v>912</v>
      </c>
      <c r="E202" s="328">
        <f>-(D$17-D202)/D$17</f>
        <v>1.3333333333333334E-2</v>
      </c>
      <c r="F202" s="346">
        <f>G47</f>
        <v>39.6</v>
      </c>
      <c r="G202" s="259" t="s">
        <v>55</v>
      </c>
      <c r="H202" s="252"/>
      <c r="I202" s="265">
        <f>CEILING(D202*F202,10)</f>
        <v>36120</v>
      </c>
      <c r="J202" s="179">
        <f t="shared" ref="J202:J203" si="45">I202/$D$5</f>
        <v>6.02</v>
      </c>
      <c r="K202" s="266">
        <f t="shared" ref="K202:K203" si="46">I202/$D$4</f>
        <v>36.119999999999997</v>
      </c>
      <c r="L202" s="252"/>
      <c r="M202" s="252"/>
      <c r="N202" s="252"/>
    </row>
    <row r="203" spans="1:14" ht="15.6" x14ac:dyDescent="0.6">
      <c r="A203" s="252"/>
      <c r="B203" s="66"/>
      <c r="C203" s="267" t="s">
        <v>215</v>
      </c>
      <c r="D203" s="261">
        <f>D$18+D$12*'Step 3'!E143</f>
        <v>380</v>
      </c>
      <c r="E203" s="328">
        <f>-(D$18-D203)/D$18</f>
        <v>1.3333333333333334E-2</v>
      </c>
      <c r="F203" s="346">
        <f>H47</f>
        <v>39.6</v>
      </c>
      <c r="G203" s="259" t="s">
        <v>55</v>
      </c>
      <c r="H203" s="252"/>
      <c r="I203" s="265">
        <f>CEILING(D203*F203,10)</f>
        <v>15050</v>
      </c>
      <c r="J203" s="179">
        <f t="shared" si="45"/>
        <v>2.5083333333333333</v>
      </c>
      <c r="K203" s="266">
        <f t="shared" si="46"/>
        <v>15.05</v>
      </c>
      <c r="L203" s="252"/>
      <c r="M203" s="252"/>
      <c r="N203" s="252"/>
    </row>
    <row r="204" spans="1:14" ht="15.6" x14ac:dyDescent="0.6">
      <c r="A204" s="252"/>
      <c r="B204" s="66"/>
      <c r="C204" s="267" t="s">
        <v>20</v>
      </c>
      <c r="D204" s="261"/>
      <c r="E204" s="326"/>
      <c r="F204" s="326"/>
      <c r="G204" s="326"/>
      <c r="I204" s="127"/>
      <c r="J204" s="127"/>
      <c r="K204" s="127"/>
      <c r="L204" s="252"/>
      <c r="M204" s="252"/>
      <c r="N204" s="252"/>
    </row>
    <row r="205" spans="1:14" ht="15.6" x14ac:dyDescent="0.6">
      <c r="A205" s="252"/>
      <c r="B205" s="66"/>
      <c r="C205" s="273" t="s">
        <v>216</v>
      </c>
      <c r="D205" s="261">
        <f>D$59*D47</f>
        <v>5346</v>
      </c>
      <c r="E205" s="326"/>
      <c r="F205" s="269"/>
      <c r="G205" s="259"/>
      <c r="H205" s="252"/>
      <c r="I205" s="265"/>
      <c r="J205" s="179"/>
      <c r="K205" s="266"/>
      <c r="L205" s="252"/>
      <c r="M205" s="252"/>
      <c r="N205" s="252"/>
    </row>
    <row r="206" spans="1:14" ht="15.6" x14ac:dyDescent="0.6">
      <c r="A206" s="252"/>
      <c r="B206" s="66"/>
      <c r="C206" s="273" t="s">
        <v>98</v>
      </c>
      <c r="D206" s="261">
        <f>-D$11*E47</f>
        <v>-301.5</v>
      </c>
      <c r="E206" s="326"/>
      <c r="F206" s="269"/>
      <c r="G206" s="259"/>
      <c r="H206" s="252"/>
      <c r="I206" s="265"/>
      <c r="J206" s="179"/>
      <c r="K206" s="266"/>
      <c r="L206" s="252"/>
      <c r="M206" s="252"/>
      <c r="N206" s="252"/>
    </row>
    <row r="207" spans="1:14" ht="15.6" x14ac:dyDescent="0.6">
      <c r="A207" s="252"/>
      <c r="B207" s="66"/>
      <c r="C207" s="273" t="s">
        <v>222</v>
      </c>
      <c r="D207" s="261">
        <f>-D202</f>
        <v>-912</v>
      </c>
      <c r="E207" s="326"/>
      <c r="F207" s="269"/>
      <c r="G207" s="259"/>
      <c r="H207" s="252"/>
      <c r="I207" s="265"/>
      <c r="J207" s="179"/>
      <c r="K207" s="266"/>
      <c r="L207" s="252"/>
      <c r="M207" s="252"/>
      <c r="N207" s="252"/>
    </row>
    <row r="208" spans="1:14" ht="15.6" x14ac:dyDescent="0.6">
      <c r="A208" s="252"/>
      <c r="B208" s="66"/>
      <c r="C208" s="273" t="s">
        <v>210</v>
      </c>
      <c r="D208" s="261">
        <f>-D$12*F47</f>
        <v>-50.250000000000007</v>
      </c>
      <c r="E208" s="326"/>
      <c r="F208" s="269"/>
      <c r="G208" s="259"/>
      <c r="H208" s="252"/>
      <c r="I208" s="265"/>
      <c r="J208" s="179"/>
      <c r="K208" s="266"/>
      <c r="L208" s="252"/>
      <c r="M208" s="252"/>
      <c r="N208" s="252"/>
    </row>
    <row r="209" spans="1:14" ht="15.6" x14ac:dyDescent="0.6">
      <c r="A209" s="252"/>
      <c r="B209" s="66"/>
      <c r="C209" s="273" t="s">
        <v>217</v>
      </c>
      <c r="D209" s="285">
        <f>-D203</f>
        <v>-380</v>
      </c>
      <c r="E209" s="326"/>
      <c r="F209" s="269"/>
      <c r="G209" s="259"/>
      <c r="H209" s="252"/>
      <c r="I209" s="265"/>
      <c r="J209" s="179"/>
      <c r="K209" s="266"/>
      <c r="L209" s="252"/>
      <c r="M209" s="252"/>
      <c r="N209" s="252"/>
    </row>
    <row r="210" spans="1:14" ht="15.6" x14ac:dyDescent="0.6">
      <c r="A210" s="252"/>
      <c r="B210" s="66"/>
      <c r="C210" s="267"/>
      <c r="D210" s="261">
        <f>SUM(D205:D209)</f>
        <v>3702.25</v>
      </c>
      <c r="E210" s="329">
        <f>-(D$19-D210)/D$19</f>
        <v>-1.9271523178807946E-2</v>
      </c>
      <c r="F210" s="263">
        <f>I47</f>
        <v>59.4</v>
      </c>
      <c r="G210" s="259" t="s">
        <v>55</v>
      </c>
      <c r="H210" s="252"/>
      <c r="I210" s="265">
        <f>D210*F210</f>
        <v>219913.65</v>
      </c>
      <c r="J210" s="179">
        <f>I210/$D$5</f>
        <v>36.652274999999996</v>
      </c>
      <c r="K210" s="266">
        <f>I210/$D$4</f>
        <v>219.91364999999999</v>
      </c>
      <c r="L210" s="252"/>
      <c r="M210" s="252"/>
      <c r="N210" s="252"/>
    </row>
    <row r="211" spans="1:14" ht="15.6" x14ac:dyDescent="0.6">
      <c r="A211" s="252"/>
      <c r="B211" s="66"/>
      <c r="C211" s="267" t="s">
        <v>21</v>
      </c>
      <c r="D211" s="261">
        <f>D$25</f>
        <v>12</v>
      </c>
      <c r="E211" s="268" t="s">
        <v>57</v>
      </c>
      <c r="F211" s="263">
        <f>J47</f>
        <v>39.6</v>
      </c>
      <c r="G211" s="259" t="s">
        <v>55</v>
      </c>
      <c r="H211" s="252"/>
      <c r="I211" s="270">
        <f>CEILING(D211*F211,10)</f>
        <v>480</v>
      </c>
      <c r="J211" s="271">
        <f t="shared" ref="J211" si="47">I211/$D$5</f>
        <v>0.08</v>
      </c>
      <c r="K211" s="272">
        <f t="shared" ref="K211:K212" si="48">I211/$D$4</f>
        <v>0.48</v>
      </c>
      <c r="L211" s="252"/>
      <c r="M211" s="252"/>
      <c r="N211" s="252"/>
    </row>
    <row r="212" spans="1:14" ht="15.6" x14ac:dyDescent="0.6">
      <c r="A212" s="252"/>
      <c r="B212" s="66"/>
      <c r="C212" s="267"/>
      <c r="D212" s="267"/>
      <c r="E212" s="268"/>
      <c r="F212" s="268"/>
      <c r="G212" s="259"/>
      <c r="H212" s="259"/>
      <c r="I212" s="265">
        <f>SUM(I202:I211)</f>
        <v>271563.65000000002</v>
      </c>
      <c r="J212" s="179">
        <f>I212/$D$5</f>
        <v>45.260608333333337</v>
      </c>
      <c r="K212" s="266">
        <f t="shared" si="48"/>
        <v>271.56365</v>
      </c>
      <c r="L212" s="252"/>
      <c r="M212" s="252"/>
      <c r="N212" s="252"/>
    </row>
    <row r="213" spans="1:14" ht="15.6" x14ac:dyDescent="0.6">
      <c r="A213" s="252"/>
      <c r="B213" s="260" t="s">
        <v>28</v>
      </c>
      <c r="C213" s="273"/>
      <c r="D213" s="273"/>
      <c r="E213" s="268"/>
      <c r="F213" s="268"/>
      <c r="G213" s="259"/>
      <c r="H213" s="259"/>
      <c r="I213" s="265"/>
      <c r="J213" s="265"/>
      <c r="K213" s="265"/>
      <c r="L213" s="252"/>
      <c r="M213" s="252"/>
      <c r="N213" s="252"/>
    </row>
    <row r="214" spans="1:14" ht="15.6" x14ac:dyDescent="0.6">
      <c r="A214" s="252"/>
      <c r="B214" s="274"/>
      <c r="C214" s="267" t="s">
        <v>1</v>
      </c>
      <c r="D214" s="261" t="s">
        <v>99</v>
      </c>
      <c r="E214" s="268"/>
      <c r="F214" s="268"/>
      <c r="G214" s="259"/>
      <c r="H214" s="259"/>
      <c r="I214" s="266">
        <v>0</v>
      </c>
      <c r="J214" s="179">
        <f t="shared" ref="J214:J217" si="49">I214/$D$5</f>
        <v>0</v>
      </c>
      <c r="K214" s="266">
        <f t="shared" ref="K214:K217" si="50">I214/$D$4</f>
        <v>0</v>
      </c>
      <c r="L214" s="252"/>
      <c r="M214" s="252"/>
      <c r="N214" s="252"/>
    </row>
    <row r="215" spans="1:14" ht="15.6" x14ac:dyDescent="0.6">
      <c r="A215" s="252"/>
      <c r="B215" s="274"/>
      <c r="C215" s="267" t="s">
        <v>133</v>
      </c>
      <c r="D215" s="261" t="s">
        <v>134</v>
      </c>
      <c r="E215" s="268"/>
      <c r="F215" s="268"/>
      <c r="G215" s="259"/>
      <c r="H215" s="259"/>
      <c r="I215" s="266">
        <v>0</v>
      </c>
      <c r="J215" s="179">
        <f t="shared" si="49"/>
        <v>0</v>
      </c>
      <c r="K215" s="266">
        <f t="shared" si="50"/>
        <v>0</v>
      </c>
      <c r="L215" s="252"/>
      <c r="M215" s="252"/>
      <c r="N215" s="252"/>
    </row>
    <row r="216" spans="1:14" ht="15.6" x14ac:dyDescent="0.6">
      <c r="A216" s="252"/>
      <c r="B216" s="274"/>
      <c r="C216" s="267" t="s">
        <v>2</v>
      </c>
      <c r="D216" s="261">
        <f>D$25</f>
        <v>12</v>
      </c>
      <c r="E216" s="268" t="s">
        <v>57</v>
      </c>
      <c r="F216" s="269">
        <f>F$25</f>
        <v>800</v>
      </c>
      <c r="G216" s="259" t="s">
        <v>58</v>
      </c>
      <c r="H216" s="259"/>
      <c r="I216" s="272">
        <f>CEILING(-D216*F216,10)</f>
        <v>-9600</v>
      </c>
      <c r="J216" s="271">
        <f t="shared" si="49"/>
        <v>-1.6</v>
      </c>
      <c r="K216" s="272">
        <f t="shared" si="50"/>
        <v>-9.6</v>
      </c>
      <c r="L216" s="252"/>
      <c r="M216" s="252"/>
      <c r="N216" s="252"/>
    </row>
    <row r="217" spans="1:14" ht="15.6" x14ac:dyDescent="0.6">
      <c r="A217" s="252"/>
      <c r="B217" s="66"/>
      <c r="C217" s="273"/>
      <c r="D217" s="273"/>
      <c r="E217" s="273"/>
      <c r="F217" s="273"/>
      <c r="G217" s="273"/>
      <c r="H217" s="273"/>
      <c r="I217" s="266">
        <f>SUM(I214:I216)</f>
        <v>-9600</v>
      </c>
      <c r="J217" s="179">
        <f t="shared" si="49"/>
        <v>-1.6</v>
      </c>
      <c r="K217" s="266">
        <f t="shared" si="50"/>
        <v>-9.6</v>
      </c>
      <c r="L217" s="252"/>
      <c r="M217" s="252"/>
      <c r="N217" s="252"/>
    </row>
    <row r="218" spans="1:14" ht="15.6" x14ac:dyDescent="0.6">
      <c r="A218" s="252"/>
      <c r="B218" s="275" t="s">
        <v>0</v>
      </c>
      <c r="C218" s="257"/>
      <c r="D218" s="257"/>
      <c r="E218" s="257"/>
      <c r="F218" s="257"/>
      <c r="G218" s="257"/>
      <c r="H218" s="257"/>
      <c r="I218" s="276">
        <f>I199+I212+I217</f>
        <v>602823.65</v>
      </c>
      <c r="J218" s="277">
        <f>J199+J212+J217</f>
        <v>100.47060833333335</v>
      </c>
      <c r="K218" s="278">
        <f>K199+K212+K217</f>
        <v>602.82364999999993</v>
      </c>
      <c r="L218" s="252"/>
      <c r="M218" s="252"/>
      <c r="N218" s="252"/>
    </row>
    <row r="219" spans="1:14" ht="15.6" x14ac:dyDescent="0.6">
      <c r="A219" s="252"/>
      <c r="B219" s="66" t="s">
        <v>23</v>
      </c>
      <c r="C219" s="259"/>
      <c r="D219" s="259"/>
      <c r="E219" s="259"/>
      <c r="F219" s="259"/>
      <c r="G219" s="259"/>
      <c r="H219" s="259"/>
      <c r="I219" s="198" t="s">
        <v>48</v>
      </c>
      <c r="J219" s="198" t="s">
        <v>49</v>
      </c>
      <c r="K219" s="198" t="s">
        <v>50</v>
      </c>
      <c r="L219" s="252"/>
      <c r="M219" s="252"/>
      <c r="N219" s="252"/>
    </row>
    <row r="220" spans="1:14" ht="15.6" x14ac:dyDescent="0.6">
      <c r="A220" s="252"/>
      <c r="B220" s="260" t="s">
        <v>3</v>
      </c>
      <c r="C220" s="259"/>
      <c r="D220" s="259"/>
      <c r="E220" s="259"/>
      <c r="F220" s="259"/>
      <c r="G220" s="259"/>
      <c r="L220" s="252"/>
      <c r="M220" s="252"/>
      <c r="N220" s="252"/>
    </row>
    <row r="221" spans="1:14" ht="15.6" x14ac:dyDescent="0.6">
      <c r="A221" s="252"/>
      <c r="B221" s="260"/>
      <c r="C221" s="259" t="s">
        <v>224</v>
      </c>
      <c r="D221" s="261">
        <f>D$15</f>
        <v>10185</v>
      </c>
      <c r="E221" s="262" t="s">
        <v>57</v>
      </c>
      <c r="F221" s="263">
        <f>F$30</f>
        <v>3.5</v>
      </c>
      <c r="G221" s="264" t="s">
        <v>204</v>
      </c>
      <c r="H221" s="259"/>
      <c r="I221" s="265">
        <f>CEILING(D221*F221,10)</f>
        <v>35650</v>
      </c>
      <c r="J221" s="179">
        <f>I221/$D$5</f>
        <v>5.9416666666666664</v>
      </c>
      <c r="K221" s="266">
        <f>I221/$D$4</f>
        <v>35.65</v>
      </c>
      <c r="L221" s="252"/>
      <c r="M221" s="252"/>
      <c r="N221" s="252"/>
    </row>
    <row r="222" spans="1:14" ht="15.6" x14ac:dyDescent="0.6">
      <c r="A222" s="252"/>
      <c r="B222" s="260"/>
      <c r="C222" s="259" t="s">
        <v>135</v>
      </c>
      <c r="D222" s="261">
        <f>D205</f>
        <v>5346</v>
      </c>
      <c r="E222" s="262" t="s">
        <v>57</v>
      </c>
      <c r="F222" s="263">
        <f>F$31</f>
        <v>3.5</v>
      </c>
      <c r="G222" s="264" t="s">
        <v>204</v>
      </c>
      <c r="H222" s="259"/>
      <c r="I222" s="265">
        <f>CEILING(D222*F222,10)</f>
        <v>18720</v>
      </c>
      <c r="J222" s="179">
        <f>I222/$D$5</f>
        <v>3.12</v>
      </c>
      <c r="K222" s="266">
        <f>I222/$D$4</f>
        <v>18.72</v>
      </c>
      <c r="L222" s="252"/>
      <c r="M222" s="252"/>
      <c r="N222" s="252"/>
    </row>
    <row r="223" spans="1:14" ht="15.6" x14ac:dyDescent="0.6">
      <c r="A223" s="252"/>
      <c r="B223" s="260" t="s">
        <v>97</v>
      </c>
      <c r="C223" s="259"/>
      <c r="D223" s="261">
        <f>D221</f>
        <v>10185</v>
      </c>
      <c r="E223" s="262" t="s">
        <v>57</v>
      </c>
      <c r="F223" s="263">
        <f>I223/D223</f>
        <v>2.903289150711831</v>
      </c>
      <c r="G223" s="264" t="s">
        <v>204</v>
      </c>
      <c r="H223" s="259"/>
      <c r="I223" s="265">
        <f>'Step 3'!E90</f>
        <v>29570</v>
      </c>
      <c r="J223" s="179">
        <f t="shared" ref="J223:J227" si="51">I223/$D$5</f>
        <v>4.9283333333333337</v>
      </c>
      <c r="K223" s="266">
        <f t="shared" ref="K223:K227" si="52">I223/$D$4</f>
        <v>29.57</v>
      </c>
      <c r="L223" s="252"/>
      <c r="M223" s="252"/>
      <c r="N223" s="252"/>
    </row>
    <row r="224" spans="1:14" ht="15.6" x14ac:dyDescent="0.6">
      <c r="A224" s="252"/>
      <c r="B224" s="260" t="s">
        <v>24</v>
      </c>
      <c r="C224" s="259"/>
      <c r="D224" s="261">
        <f>D221</f>
        <v>10185</v>
      </c>
      <c r="E224" s="262" t="str">
        <f>E221</f>
        <v>hd @</v>
      </c>
      <c r="F224" s="263">
        <f>F$33</f>
        <v>6.5</v>
      </c>
      <c r="G224" s="264" t="s">
        <v>204</v>
      </c>
      <c r="H224" s="259"/>
      <c r="I224" s="265">
        <f>CEILING(D224*F224,10)</f>
        <v>66210</v>
      </c>
      <c r="J224" s="179">
        <f t="shared" si="51"/>
        <v>11.035</v>
      </c>
      <c r="K224" s="266">
        <f t="shared" si="52"/>
        <v>66.209999999999994</v>
      </c>
      <c r="L224" s="252"/>
      <c r="M224" s="252"/>
      <c r="N224" s="252"/>
    </row>
    <row r="225" spans="1:14" ht="15.6" x14ac:dyDescent="0.6">
      <c r="A225" s="252"/>
      <c r="B225" s="260" t="s">
        <v>25</v>
      </c>
      <c r="C225" s="259"/>
      <c r="D225" s="279">
        <f>D199*F199/170</f>
        <v>222.2258823529412</v>
      </c>
      <c r="E225" s="262" t="s">
        <v>59</v>
      </c>
      <c r="F225" s="263">
        <f>F$34</f>
        <v>20</v>
      </c>
      <c r="G225" s="264" t="s">
        <v>60</v>
      </c>
      <c r="H225" s="259"/>
      <c r="I225" s="265">
        <f>CEILING(D225*F225,10)</f>
        <v>4450</v>
      </c>
      <c r="J225" s="179">
        <f t="shared" si="51"/>
        <v>0.7416666666666667</v>
      </c>
      <c r="K225" s="266">
        <f t="shared" si="52"/>
        <v>4.45</v>
      </c>
      <c r="L225" s="252"/>
      <c r="M225" s="252"/>
      <c r="N225" s="252"/>
    </row>
    <row r="226" spans="1:14" ht="15.6" x14ac:dyDescent="0.6">
      <c r="A226" s="252"/>
      <c r="B226" s="260" t="s">
        <v>26</v>
      </c>
      <c r="C226" s="259"/>
      <c r="D226" s="259"/>
      <c r="E226" s="259"/>
      <c r="F226" s="263">
        <f>F$35</f>
        <v>15</v>
      </c>
      <c r="G226" s="264" t="s">
        <v>60</v>
      </c>
      <c r="H226" s="259"/>
      <c r="I226" s="265">
        <f>CEILING(D225*F226,10)</f>
        <v>3340</v>
      </c>
      <c r="J226" s="179">
        <f t="shared" si="51"/>
        <v>0.55666666666666664</v>
      </c>
      <c r="K226" s="266">
        <f t="shared" si="52"/>
        <v>3.34</v>
      </c>
      <c r="L226" s="252"/>
      <c r="M226" s="252"/>
      <c r="N226" s="252"/>
    </row>
    <row r="227" spans="1:14" ht="15.6" x14ac:dyDescent="0.6">
      <c r="A227" s="252"/>
      <c r="B227" s="260" t="s">
        <v>27</v>
      </c>
      <c r="C227" s="259"/>
      <c r="D227" s="261">
        <f>D202+D203+D210+D211+D216</f>
        <v>5018.25</v>
      </c>
      <c r="E227" s="268" t="s">
        <v>57</v>
      </c>
      <c r="F227" s="263">
        <f>F$36</f>
        <v>2</v>
      </c>
      <c r="G227" s="264" t="s">
        <v>61</v>
      </c>
      <c r="H227" s="259"/>
      <c r="I227" s="265">
        <f>CEILING(D227*F227,10)</f>
        <v>10040</v>
      </c>
      <c r="J227" s="179">
        <f t="shared" si="51"/>
        <v>1.6733333333333333</v>
      </c>
      <c r="K227" s="266">
        <f t="shared" si="52"/>
        <v>10.039999999999999</v>
      </c>
      <c r="L227" s="252"/>
      <c r="M227" s="252"/>
      <c r="N227" s="252"/>
    </row>
    <row r="228" spans="1:14" ht="15.6" x14ac:dyDescent="0.6">
      <c r="A228" s="252"/>
      <c r="B228" s="275" t="s">
        <v>41</v>
      </c>
      <c r="C228" s="257"/>
      <c r="D228" s="257"/>
      <c r="E228" s="280"/>
      <c r="F228" s="257"/>
      <c r="G228" s="257"/>
      <c r="H228" s="257"/>
      <c r="I228" s="276">
        <f>SUM(I221:I227)</f>
        <v>167980</v>
      </c>
      <c r="J228" s="277">
        <f>SUM(J221:J227)</f>
        <v>27.99666666666667</v>
      </c>
      <c r="K228" s="278">
        <f>SUM(K221:K227)</f>
        <v>167.97999999999996</v>
      </c>
      <c r="L228" s="252"/>
      <c r="M228" s="252"/>
      <c r="N228" s="252"/>
    </row>
    <row r="229" spans="1:14" ht="15.6" x14ac:dyDescent="0.6">
      <c r="A229" s="252"/>
      <c r="B229" s="281" t="s">
        <v>62</v>
      </c>
      <c r="C229" s="257"/>
      <c r="D229" s="257"/>
      <c r="E229" s="280"/>
      <c r="F229" s="257"/>
      <c r="G229" s="257"/>
      <c r="H229" s="257"/>
      <c r="I229" s="276">
        <f>I218-I228</f>
        <v>434843.65</v>
      </c>
      <c r="J229" s="277">
        <f>J218-J228</f>
        <v>72.473941666666676</v>
      </c>
      <c r="K229" s="278">
        <f>K218-K228</f>
        <v>434.84364999999997</v>
      </c>
      <c r="L229" s="252"/>
      <c r="M229" s="252"/>
      <c r="N229" s="252"/>
    </row>
    <row r="230" spans="1:14" ht="15.6" x14ac:dyDescent="0.6">
      <c r="A230" s="252"/>
      <c r="B230" s="282"/>
      <c r="C230" s="255"/>
      <c r="D230" s="255"/>
      <c r="E230" s="255"/>
      <c r="F230" s="255"/>
      <c r="G230" s="255"/>
      <c r="H230" s="255"/>
      <c r="I230" s="255"/>
      <c r="J230" s="255"/>
      <c r="K230" s="255"/>
      <c r="L230" s="252"/>
      <c r="M230" s="252"/>
      <c r="N230" s="252"/>
    </row>
    <row r="231" spans="1:14" ht="18.3" x14ac:dyDescent="0.7">
      <c r="A231" s="252"/>
      <c r="B231" s="253" t="s">
        <v>231</v>
      </c>
      <c r="C231" s="252"/>
      <c r="D231" s="252"/>
      <c r="E231" s="252"/>
      <c r="F231" s="252"/>
      <c r="G231" s="252"/>
      <c r="H231" s="252"/>
      <c r="I231" s="252"/>
      <c r="J231" s="252"/>
      <c r="K231" s="252"/>
      <c r="L231" s="252"/>
      <c r="M231" s="252"/>
      <c r="N231" s="252"/>
    </row>
    <row r="232" spans="1:14" ht="17.7" x14ac:dyDescent="0.6">
      <c r="A232" s="252"/>
      <c r="B232" s="256"/>
      <c r="C232" s="257"/>
      <c r="D232" s="257"/>
      <c r="E232" s="257"/>
      <c r="F232" s="257"/>
      <c r="G232" s="257"/>
      <c r="H232" s="257"/>
      <c r="I232" s="258" t="s">
        <v>46</v>
      </c>
      <c r="J232" s="258" t="s">
        <v>78</v>
      </c>
      <c r="K232" s="258" t="s">
        <v>87</v>
      </c>
      <c r="L232" s="252"/>
      <c r="M232" s="252"/>
      <c r="N232" s="252"/>
    </row>
    <row r="233" spans="1:14" ht="15.6" x14ac:dyDescent="0.6">
      <c r="A233" s="252"/>
      <c r="B233" s="66" t="s">
        <v>18</v>
      </c>
      <c r="C233" s="259"/>
      <c r="D233" s="259"/>
      <c r="E233" s="259"/>
      <c r="F233" s="259"/>
      <c r="G233" s="259"/>
      <c r="H233" s="259"/>
      <c r="I233" s="198" t="s">
        <v>48</v>
      </c>
      <c r="J233" s="198" t="s">
        <v>49</v>
      </c>
      <c r="K233" s="198" t="s">
        <v>50</v>
      </c>
      <c r="L233" s="252"/>
      <c r="M233" s="252"/>
      <c r="N233" s="252"/>
    </row>
    <row r="234" spans="1:14" ht="15.6" x14ac:dyDescent="0.6">
      <c r="A234" s="252"/>
      <c r="B234" s="260" t="s">
        <v>4</v>
      </c>
      <c r="C234" s="259"/>
      <c r="D234" s="261">
        <f>$D$11</f>
        <v>6000</v>
      </c>
      <c r="E234" s="288" t="s">
        <v>212</v>
      </c>
      <c r="F234" s="325">
        <f>K48</f>
        <v>6.2964000000000002</v>
      </c>
      <c r="G234" s="263">
        <f>L48</f>
        <v>9.0224999999999991</v>
      </c>
      <c r="H234" s="264" t="s">
        <v>47</v>
      </c>
      <c r="I234" s="265">
        <f>CEILING(D234*F234*G234,10)</f>
        <v>340860</v>
      </c>
      <c r="J234" s="179">
        <f>I234/$D$5</f>
        <v>56.81</v>
      </c>
      <c r="K234" s="266">
        <f>I234/$D$4</f>
        <v>340.86</v>
      </c>
      <c r="L234" s="252"/>
      <c r="M234" s="252"/>
      <c r="N234" s="252"/>
    </row>
    <row r="235" spans="1:14" ht="15.6" x14ac:dyDescent="0.6">
      <c r="A235" s="252"/>
      <c r="B235" s="260"/>
      <c r="C235" s="259"/>
      <c r="D235" s="261"/>
      <c r="E235" s="314" t="s">
        <v>214</v>
      </c>
      <c r="F235" s="289"/>
      <c r="G235" s="263"/>
      <c r="H235" s="264"/>
      <c r="I235" s="265"/>
      <c r="J235" s="179"/>
      <c r="K235" s="266"/>
      <c r="L235" s="252"/>
      <c r="M235" s="252"/>
      <c r="N235" s="252"/>
    </row>
    <row r="236" spans="1:14" ht="15.6" x14ac:dyDescent="0.6">
      <c r="A236" s="252"/>
      <c r="B236" s="260" t="s">
        <v>22</v>
      </c>
      <c r="C236" s="259"/>
      <c r="D236" s="261"/>
      <c r="E236" s="327" t="s">
        <v>225</v>
      </c>
      <c r="F236" s="259"/>
      <c r="G236" s="259"/>
      <c r="H236" s="259"/>
      <c r="I236" s="265"/>
      <c r="J236" s="265"/>
      <c r="K236" s="265"/>
      <c r="L236" s="252"/>
      <c r="M236" s="252"/>
      <c r="N236" s="252"/>
    </row>
    <row r="237" spans="1:14" ht="15.6" x14ac:dyDescent="0.6">
      <c r="A237" s="252"/>
      <c r="B237" s="66"/>
      <c r="C237" s="267" t="s">
        <v>19</v>
      </c>
      <c r="D237" s="261">
        <f>D$17+D$11*'Step 3'!E144</f>
        <v>912</v>
      </c>
      <c r="E237" s="328">
        <f>-(D$17-D237)/D$17</f>
        <v>1.3333333333333334E-2</v>
      </c>
      <c r="F237" s="346">
        <f>G48</f>
        <v>39.6</v>
      </c>
      <c r="G237" s="259" t="s">
        <v>55</v>
      </c>
      <c r="H237" s="252"/>
      <c r="I237" s="265">
        <f>CEILING(D237*F237,10)</f>
        <v>36120</v>
      </c>
      <c r="J237" s="179">
        <f t="shared" ref="J237:J238" si="53">I237/$D$5</f>
        <v>6.02</v>
      </c>
      <c r="K237" s="266">
        <f t="shared" ref="K237:K238" si="54">I237/$D$4</f>
        <v>36.119999999999997</v>
      </c>
      <c r="L237" s="252"/>
      <c r="M237" s="252"/>
      <c r="N237" s="252"/>
    </row>
    <row r="238" spans="1:14" ht="15.6" x14ac:dyDescent="0.6">
      <c r="A238" s="252"/>
      <c r="B238" s="66"/>
      <c r="C238" s="267" t="s">
        <v>215</v>
      </c>
      <c r="D238" s="261">
        <f>D$18+D$12*'Step 3'!E144</f>
        <v>380</v>
      </c>
      <c r="E238" s="328">
        <f>-(D$18-D238)/D$18</f>
        <v>1.3333333333333334E-2</v>
      </c>
      <c r="F238" s="346">
        <f>H48</f>
        <v>39.6</v>
      </c>
      <c r="G238" s="259" t="s">
        <v>55</v>
      </c>
      <c r="H238" s="252"/>
      <c r="I238" s="265">
        <f>CEILING(D238*F238,10)</f>
        <v>15050</v>
      </c>
      <c r="J238" s="179">
        <f t="shared" si="53"/>
        <v>2.5083333333333333</v>
      </c>
      <c r="K238" s="266">
        <f t="shared" si="54"/>
        <v>15.05</v>
      </c>
      <c r="L238" s="252"/>
      <c r="M238" s="252"/>
      <c r="N238" s="252"/>
    </row>
    <row r="239" spans="1:14" ht="15.6" x14ac:dyDescent="0.6">
      <c r="A239" s="252"/>
      <c r="B239" s="66"/>
      <c r="C239" s="267" t="s">
        <v>20</v>
      </c>
      <c r="D239" s="261"/>
      <c r="E239" s="326"/>
      <c r="F239" s="326"/>
      <c r="G239" s="326"/>
      <c r="H239" s="326"/>
      <c r="I239" s="127"/>
      <c r="J239" s="127"/>
      <c r="K239" s="127"/>
      <c r="L239" s="252"/>
      <c r="M239" s="252"/>
      <c r="N239" s="252"/>
    </row>
    <row r="240" spans="1:14" ht="15.6" x14ac:dyDescent="0.6">
      <c r="A240" s="252"/>
      <c r="B240" s="66"/>
      <c r="C240" s="273" t="s">
        <v>216</v>
      </c>
      <c r="D240" s="261">
        <f>D$59*D48</f>
        <v>5346</v>
      </c>
      <c r="E240" s="326"/>
      <c r="F240" s="269"/>
      <c r="G240" s="259"/>
      <c r="H240" s="252"/>
      <c r="I240" s="265"/>
      <c r="J240" s="179"/>
      <c r="K240" s="266"/>
      <c r="L240" s="252"/>
      <c r="M240" s="252"/>
      <c r="N240" s="252"/>
    </row>
    <row r="241" spans="1:14" ht="15.6" x14ac:dyDescent="0.6">
      <c r="A241" s="252"/>
      <c r="B241" s="66"/>
      <c r="C241" s="273" t="s">
        <v>98</v>
      </c>
      <c r="D241" s="261">
        <f>-D$11*E48</f>
        <v>-301.5</v>
      </c>
      <c r="E241" s="326"/>
      <c r="F241" s="269"/>
      <c r="G241" s="259"/>
      <c r="H241" s="252"/>
      <c r="I241" s="265"/>
      <c r="J241" s="179"/>
      <c r="K241" s="266"/>
      <c r="L241" s="252"/>
      <c r="M241" s="252"/>
      <c r="N241" s="252"/>
    </row>
    <row r="242" spans="1:14" ht="15.6" x14ac:dyDescent="0.6">
      <c r="A242" s="252"/>
      <c r="B242" s="66"/>
      <c r="C242" s="273" t="s">
        <v>222</v>
      </c>
      <c r="D242" s="261">
        <f>-D237</f>
        <v>-912</v>
      </c>
      <c r="E242" s="326"/>
      <c r="F242" s="269"/>
      <c r="G242" s="259"/>
      <c r="H242" s="252"/>
      <c r="I242" s="265"/>
      <c r="J242" s="179"/>
      <c r="K242" s="266"/>
      <c r="L242" s="252"/>
      <c r="M242" s="252"/>
      <c r="N242" s="252"/>
    </row>
    <row r="243" spans="1:14" ht="15.6" x14ac:dyDescent="0.6">
      <c r="A243" s="252"/>
      <c r="B243" s="66"/>
      <c r="C243" s="273" t="s">
        <v>210</v>
      </c>
      <c r="D243" s="261">
        <f>-D$12*F48</f>
        <v>-50.250000000000007</v>
      </c>
      <c r="E243" s="326"/>
      <c r="F243" s="269"/>
      <c r="G243" s="259"/>
      <c r="H243" s="252"/>
      <c r="I243" s="265"/>
      <c r="J243" s="179"/>
      <c r="K243" s="266"/>
      <c r="L243" s="252"/>
      <c r="M243" s="252"/>
      <c r="N243" s="252"/>
    </row>
    <row r="244" spans="1:14" ht="15.6" x14ac:dyDescent="0.6">
      <c r="A244" s="252"/>
      <c r="B244" s="66"/>
      <c r="C244" s="273" t="s">
        <v>217</v>
      </c>
      <c r="D244" s="285">
        <f>-D238</f>
        <v>-380</v>
      </c>
      <c r="E244" s="326"/>
      <c r="F244" s="269"/>
      <c r="G244" s="259"/>
      <c r="H244" s="252"/>
      <c r="I244" s="265"/>
      <c r="J244" s="179"/>
      <c r="K244" s="266"/>
      <c r="L244" s="252"/>
      <c r="M244" s="252"/>
      <c r="N244" s="252"/>
    </row>
    <row r="245" spans="1:14" ht="15.6" x14ac:dyDescent="0.6">
      <c r="A245" s="252"/>
      <c r="B245" s="66"/>
      <c r="C245" s="267"/>
      <c r="D245" s="261">
        <f>SUM(D240:D244)</f>
        <v>3702.25</v>
      </c>
      <c r="E245" s="329">
        <f>-(D$19-D245)/D$19</f>
        <v>-1.9271523178807946E-2</v>
      </c>
      <c r="F245" s="263">
        <f>I48</f>
        <v>59.4</v>
      </c>
      <c r="G245" s="259" t="s">
        <v>55</v>
      </c>
      <c r="H245" s="252"/>
      <c r="I245" s="265">
        <f>D245*F245</f>
        <v>219913.65</v>
      </c>
      <c r="J245" s="179">
        <f>I245/$D$5</f>
        <v>36.652274999999996</v>
      </c>
      <c r="K245" s="266">
        <f>I245/$D$4</f>
        <v>219.91364999999999</v>
      </c>
      <c r="L245" s="252"/>
      <c r="M245" s="252"/>
      <c r="N245" s="252"/>
    </row>
    <row r="246" spans="1:14" ht="15.6" x14ac:dyDescent="0.6">
      <c r="A246" s="252"/>
      <c r="B246" s="66"/>
      <c r="C246" s="267" t="s">
        <v>21</v>
      </c>
      <c r="D246" s="261">
        <f>D$25</f>
        <v>12</v>
      </c>
      <c r="E246" s="268" t="s">
        <v>57</v>
      </c>
      <c r="F246" s="263">
        <f>J48</f>
        <v>39.6</v>
      </c>
      <c r="G246" s="259" t="s">
        <v>55</v>
      </c>
      <c r="H246" s="252"/>
      <c r="I246" s="270">
        <f>CEILING(D246*F246,10)</f>
        <v>480</v>
      </c>
      <c r="J246" s="271">
        <f t="shared" ref="J246" si="55">I246/$D$5</f>
        <v>0.08</v>
      </c>
      <c r="K246" s="272">
        <f t="shared" ref="K246:K247" si="56">I246/$D$4</f>
        <v>0.48</v>
      </c>
      <c r="L246" s="252"/>
      <c r="M246" s="252"/>
      <c r="N246" s="252"/>
    </row>
    <row r="247" spans="1:14" ht="15.6" x14ac:dyDescent="0.6">
      <c r="A247" s="252"/>
      <c r="B247" s="66"/>
      <c r="C247" s="267"/>
      <c r="D247" s="267"/>
      <c r="E247" s="268"/>
      <c r="F247" s="268"/>
      <c r="G247" s="259"/>
      <c r="H247" s="259"/>
      <c r="I247" s="265">
        <f>SUM(I237:I246)</f>
        <v>271563.65000000002</v>
      </c>
      <c r="J247" s="179">
        <f>I247/$D$5</f>
        <v>45.260608333333337</v>
      </c>
      <c r="K247" s="266">
        <f t="shared" si="56"/>
        <v>271.56365</v>
      </c>
      <c r="L247" s="252"/>
      <c r="M247" s="252"/>
      <c r="N247" s="252"/>
    </row>
    <row r="248" spans="1:14" ht="15.6" x14ac:dyDescent="0.6">
      <c r="A248" s="252"/>
      <c r="B248" s="260" t="s">
        <v>28</v>
      </c>
      <c r="C248" s="273"/>
      <c r="D248" s="273"/>
      <c r="E248" s="268"/>
      <c r="F248" s="268"/>
      <c r="G248" s="259"/>
      <c r="H248" s="259"/>
      <c r="I248" s="265"/>
      <c r="J248" s="265"/>
      <c r="K248" s="265"/>
      <c r="L248" s="252"/>
      <c r="M248" s="252"/>
      <c r="N248" s="252"/>
    </row>
    <row r="249" spans="1:14" ht="15.6" x14ac:dyDescent="0.6">
      <c r="A249" s="252"/>
      <c r="B249" s="274"/>
      <c r="C249" s="267" t="s">
        <v>1</v>
      </c>
      <c r="D249" s="261" t="s">
        <v>99</v>
      </c>
      <c r="E249" s="268"/>
      <c r="F249" s="268"/>
      <c r="G249" s="259"/>
      <c r="H249" s="259"/>
      <c r="I249" s="266">
        <v>0</v>
      </c>
      <c r="J249" s="179">
        <f t="shared" ref="J249:J252" si="57">I249/$D$5</f>
        <v>0</v>
      </c>
      <c r="K249" s="266">
        <f t="shared" ref="K249:K252" si="58">I249/$D$4</f>
        <v>0</v>
      </c>
      <c r="L249" s="252"/>
      <c r="M249" s="252"/>
      <c r="N249" s="252"/>
    </row>
    <row r="250" spans="1:14" ht="15.6" x14ac:dyDescent="0.6">
      <c r="A250" s="252"/>
      <c r="B250" s="274"/>
      <c r="C250" s="267" t="s">
        <v>133</v>
      </c>
      <c r="D250" s="261" t="s">
        <v>134</v>
      </c>
      <c r="E250" s="268"/>
      <c r="F250" s="268"/>
      <c r="G250" s="259"/>
      <c r="H250" s="259"/>
      <c r="I250" s="266">
        <v>0</v>
      </c>
      <c r="J250" s="179">
        <f t="shared" si="57"/>
        <v>0</v>
      </c>
      <c r="K250" s="266">
        <f t="shared" si="58"/>
        <v>0</v>
      </c>
      <c r="L250" s="252"/>
      <c r="M250" s="252"/>
      <c r="N250" s="252"/>
    </row>
    <row r="251" spans="1:14" ht="15.6" x14ac:dyDescent="0.6">
      <c r="A251" s="252"/>
      <c r="B251" s="274"/>
      <c r="C251" s="267" t="s">
        <v>2</v>
      </c>
      <c r="D251" s="261">
        <f>D$25</f>
        <v>12</v>
      </c>
      <c r="E251" s="268" t="s">
        <v>57</v>
      </c>
      <c r="F251" s="269">
        <f>F$25</f>
        <v>800</v>
      </c>
      <c r="G251" s="259" t="s">
        <v>58</v>
      </c>
      <c r="H251" s="259"/>
      <c r="I251" s="272">
        <f>CEILING(-D251*F251,10)</f>
        <v>-9600</v>
      </c>
      <c r="J251" s="271">
        <f t="shared" si="57"/>
        <v>-1.6</v>
      </c>
      <c r="K251" s="272">
        <f t="shared" si="58"/>
        <v>-9.6</v>
      </c>
      <c r="L251" s="252"/>
      <c r="M251" s="252"/>
      <c r="N251" s="252"/>
    </row>
    <row r="252" spans="1:14" ht="15.6" x14ac:dyDescent="0.6">
      <c r="A252" s="252"/>
      <c r="B252" s="66"/>
      <c r="C252" s="273"/>
      <c r="D252" s="273"/>
      <c r="E252" s="273"/>
      <c r="F252" s="273"/>
      <c r="G252" s="273"/>
      <c r="H252" s="273"/>
      <c r="I252" s="266">
        <f>SUM(I249:I251)</f>
        <v>-9600</v>
      </c>
      <c r="J252" s="179">
        <f t="shared" si="57"/>
        <v>-1.6</v>
      </c>
      <c r="K252" s="266">
        <f t="shared" si="58"/>
        <v>-9.6</v>
      </c>
      <c r="L252" s="252"/>
      <c r="M252" s="252"/>
      <c r="N252" s="252"/>
    </row>
    <row r="253" spans="1:14" ht="15.6" x14ac:dyDescent="0.6">
      <c r="A253" s="252"/>
      <c r="B253" s="275" t="s">
        <v>0</v>
      </c>
      <c r="C253" s="257"/>
      <c r="D253" s="257"/>
      <c r="E253" s="257"/>
      <c r="F253" s="257"/>
      <c r="G253" s="257"/>
      <c r="H253" s="257"/>
      <c r="I253" s="276">
        <f>I234+I247+I252</f>
        <v>602823.65</v>
      </c>
      <c r="J253" s="277">
        <f>J234+J247+J252</f>
        <v>100.47060833333335</v>
      </c>
      <c r="K253" s="278">
        <f>K234+K247+K252</f>
        <v>602.82364999999993</v>
      </c>
      <c r="L253" s="252"/>
      <c r="M253" s="252"/>
      <c r="N253" s="252"/>
    </row>
    <row r="254" spans="1:14" ht="15.6" x14ac:dyDescent="0.6">
      <c r="A254" s="252"/>
      <c r="B254" s="66" t="s">
        <v>23</v>
      </c>
      <c r="C254" s="259"/>
      <c r="D254" s="259"/>
      <c r="E254" s="259"/>
      <c r="F254" s="259"/>
      <c r="G254" s="259"/>
      <c r="H254" s="259"/>
      <c r="I254" s="198" t="s">
        <v>48</v>
      </c>
      <c r="J254" s="198" t="s">
        <v>49</v>
      </c>
      <c r="K254" s="198" t="s">
        <v>50</v>
      </c>
      <c r="L254" s="252"/>
      <c r="M254" s="252"/>
      <c r="N254" s="252"/>
    </row>
    <row r="255" spans="1:14" ht="15.6" x14ac:dyDescent="0.6">
      <c r="A255" s="252"/>
      <c r="B255" s="260" t="s">
        <v>3</v>
      </c>
      <c r="C255" s="259"/>
      <c r="D255" s="259"/>
      <c r="E255" s="259"/>
      <c r="F255" s="259"/>
      <c r="G255" s="259"/>
      <c r="L255" s="252"/>
      <c r="M255" s="252"/>
      <c r="N255" s="252"/>
    </row>
    <row r="256" spans="1:14" ht="15.6" x14ac:dyDescent="0.6">
      <c r="A256" s="252"/>
      <c r="B256" s="260"/>
      <c r="C256" s="259" t="s">
        <v>224</v>
      </c>
      <c r="D256" s="261">
        <f>D$15</f>
        <v>10185</v>
      </c>
      <c r="E256" s="262" t="s">
        <v>57</v>
      </c>
      <c r="F256" s="263">
        <f>F$30</f>
        <v>3.5</v>
      </c>
      <c r="G256" s="264" t="s">
        <v>204</v>
      </c>
      <c r="H256" s="259"/>
      <c r="I256" s="265">
        <f>CEILING(D256*F256,10)</f>
        <v>35650</v>
      </c>
      <c r="J256" s="179">
        <f>I256/$D$5</f>
        <v>5.9416666666666664</v>
      </c>
      <c r="K256" s="266">
        <f>I256/$D$4</f>
        <v>35.65</v>
      </c>
      <c r="L256" s="252"/>
      <c r="M256" s="252"/>
      <c r="N256" s="252"/>
    </row>
    <row r="257" spans="1:14" ht="15.6" x14ac:dyDescent="0.6">
      <c r="A257" s="252"/>
      <c r="B257" s="260"/>
      <c r="C257" s="259" t="s">
        <v>135</v>
      </c>
      <c r="D257" s="261">
        <f>D240</f>
        <v>5346</v>
      </c>
      <c r="E257" s="262" t="s">
        <v>57</v>
      </c>
      <c r="F257" s="263">
        <f>F$31</f>
        <v>3.5</v>
      </c>
      <c r="G257" s="264" t="s">
        <v>204</v>
      </c>
      <c r="H257" s="259"/>
      <c r="I257" s="265">
        <f>CEILING(D257*F257,10)</f>
        <v>18720</v>
      </c>
      <c r="J257" s="179">
        <f>I257/$D$5</f>
        <v>3.12</v>
      </c>
      <c r="K257" s="266">
        <f>I257/$D$4</f>
        <v>18.72</v>
      </c>
      <c r="L257" s="252"/>
      <c r="M257" s="252"/>
      <c r="N257" s="252"/>
    </row>
    <row r="258" spans="1:14" ht="15.6" x14ac:dyDescent="0.6">
      <c r="A258" s="252"/>
      <c r="B258" s="260" t="s">
        <v>97</v>
      </c>
      <c r="C258" s="259"/>
      <c r="D258" s="261">
        <f>D256</f>
        <v>10185</v>
      </c>
      <c r="E258" s="262" t="s">
        <v>57</v>
      </c>
      <c r="F258" s="263">
        <f>I258/D258</f>
        <v>2.903289150711831</v>
      </c>
      <c r="G258" s="264" t="s">
        <v>204</v>
      </c>
      <c r="H258" s="259"/>
      <c r="I258" s="265">
        <f>'Step 3'!E91</f>
        <v>29570</v>
      </c>
      <c r="J258" s="179">
        <f t="shared" ref="J258:J262" si="59">I258/$D$5</f>
        <v>4.9283333333333337</v>
      </c>
      <c r="K258" s="266">
        <f t="shared" ref="K258:K262" si="60">I258/$D$4</f>
        <v>29.57</v>
      </c>
      <c r="L258" s="252"/>
      <c r="M258" s="252"/>
      <c r="N258" s="252"/>
    </row>
    <row r="259" spans="1:14" ht="15.6" x14ac:dyDescent="0.6">
      <c r="A259" s="252"/>
      <c r="B259" s="260" t="s">
        <v>24</v>
      </c>
      <c r="C259" s="259"/>
      <c r="D259" s="261">
        <f>D256</f>
        <v>10185</v>
      </c>
      <c r="E259" s="262" t="str">
        <f>E256</f>
        <v>hd @</v>
      </c>
      <c r="F259" s="263">
        <f>F$33</f>
        <v>6.5</v>
      </c>
      <c r="G259" s="264" t="s">
        <v>204</v>
      </c>
      <c r="H259" s="259"/>
      <c r="I259" s="265">
        <f>CEILING(D259*F259,10)</f>
        <v>66210</v>
      </c>
      <c r="J259" s="179">
        <f t="shared" si="59"/>
        <v>11.035</v>
      </c>
      <c r="K259" s="266">
        <f t="shared" si="60"/>
        <v>66.209999999999994</v>
      </c>
      <c r="L259" s="252"/>
      <c r="M259" s="252"/>
      <c r="N259" s="252"/>
    </row>
    <row r="260" spans="1:14" ht="15.6" x14ac:dyDescent="0.6">
      <c r="A260" s="252"/>
      <c r="B260" s="260" t="s">
        <v>25</v>
      </c>
      <c r="C260" s="259"/>
      <c r="D260" s="279">
        <f>D234*F234/170</f>
        <v>222.2258823529412</v>
      </c>
      <c r="E260" s="262" t="s">
        <v>59</v>
      </c>
      <c r="F260" s="263">
        <f>F$34</f>
        <v>20</v>
      </c>
      <c r="G260" s="264" t="s">
        <v>60</v>
      </c>
      <c r="H260" s="259"/>
      <c r="I260" s="265">
        <f>CEILING(D260*F260,10)</f>
        <v>4450</v>
      </c>
      <c r="J260" s="179">
        <f t="shared" si="59"/>
        <v>0.7416666666666667</v>
      </c>
      <c r="K260" s="266">
        <f t="shared" si="60"/>
        <v>4.45</v>
      </c>
      <c r="L260" s="252"/>
      <c r="M260" s="252"/>
      <c r="N260" s="252"/>
    </row>
    <row r="261" spans="1:14" ht="15.6" x14ac:dyDescent="0.6">
      <c r="A261" s="252"/>
      <c r="B261" s="260" t="s">
        <v>26</v>
      </c>
      <c r="C261" s="259"/>
      <c r="D261" s="259"/>
      <c r="E261" s="259"/>
      <c r="F261" s="263">
        <f>F$35</f>
        <v>15</v>
      </c>
      <c r="G261" s="264" t="s">
        <v>60</v>
      </c>
      <c r="H261" s="259"/>
      <c r="I261" s="265">
        <f>CEILING(D260*F261,10)</f>
        <v>3340</v>
      </c>
      <c r="J261" s="179">
        <f t="shared" si="59"/>
        <v>0.55666666666666664</v>
      </c>
      <c r="K261" s="266">
        <f t="shared" si="60"/>
        <v>3.34</v>
      </c>
      <c r="L261" s="252"/>
      <c r="M261" s="252"/>
      <c r="N261" s="252"/>
    </row>
    <row r="262" spans="1:14" ht="15.6" x14ac:dyDescent="0.6">
      <c r="A262" s="252"/>
      <c r="B262" s="260" t="s">
        <v>27</v>
      </c>
      <c r="C262" s="259"/>
      <c r="D262" s="261">
        <f>D237+D238+D245+D246+D251</f>
        <v>5018.25</v>
      </c>
      <c r="E262" s="268" t="s">
        <v>57</v>
      </c>
      <c r="F262" s="263">
        <f>F$36</f>
        <v>2</v>
      </c>
      <c r="G262" s="264" t="s">
        <v>61</v>
      </c>
      <c r="H262" s="259"/>
      <c r="I262" s="265">
        <f>CEILING(D262*F262,10)</f>
        <v>10040</v>
      </c>
      <c r="J262" s="179">
        <f t="shared" si="59"/>
        <v>1.6733333333333333</v>
      </c>
      <c r="K262" s="266">
        <f t="shared" si="60"/>
        <v>10.039999999999999</v>
      </c>
      <c r="L262" s="252"/>
      <c r="M262" s="252"/>
      <c r="N262" s="252"/>
    </row>
    <row r="263" spans="1:14" ht="15.6" x14ac:dyDescent="0.6">
      <c r="A263" s="252"/>
      <c r="B263" s="275" t="s">
        <v>41</v>
      </c>
      <c r="C263" s="257"/>
      <c r="D263" s="257"/>
      <c r="E263" s="280"/>
      <c r="F263" s="257"/>
      <c r="G263" s="257"/>
      <c r="H263" s="257"/>
      <c r="I263" s="276">
        <f>SUM(I256:I262)</f>
        <v>167980</v>
      </c>
      <c r="J263" s="277">
        <f>SUM(J256:J262)</f>
        <v>27.99666666666667</v>
      </c>
      <c r="K263" s="278">
        <f>SUM(K256:K262)</f>
        <v>167.97999999999996</v>
      </c>
      <c r="L263" s="252"/>
      <c r="M263" s="252"/>
      <c r="N263" s="252"/>
    </row>
    <row r="264" spans="1:14" ht="15.6" x14ac:dyDescent="0.6">
      <c r="A264" s="252"/>
      <c r="B264" s="281" t="s">
        <v>62</v>
      </c>
      <c r="C264" s="257"/>
      <c r="D264" s="257"/>
      <c r="E264" s="280"/>
      <c r="F264" s="257"/>
      <c r="G264" s="257"/>
      <c r="H264" s="257"/>
      <c r="I264" s="276">
        <f>I253-I263</f>
        <v>434843.65</v>
      </c>
      <c r="J264" s="277">
        <f>J253-J263</f>
        <v>72.473941666666676</v>
      </c>
      <c r="K264" s="278">
        <f>K253-K263</f>
        <v>434.84364999999997</v>
      </c>
      <c r="L264" s="252"/>
      <c r="M264" s="252"/>
      <c r="N264" s="252"/>
    </row>
    <row r="265" spans="1:14" ht="15.6" x14ac:dyDescent="0.6">
      <c r="A265" s="252"/>
      <c r="B265" s="282"/>
      <c r="C265" s="255"/>
      <c r="D265" s="255"/>
      <c r="E265" s="255"/>
      <c r="F265" s="255"/>
      <c r="G265" s="255"/>
      <c r="H265" s="255"/>
      <c r="I265" s="255"/>
      <c r="J265" s="255"/>
      <c r="K265" s="255"/>
      <c r="L265" s="252"/>
      <c r="M265" s="252"/>
      <c r="N265" s="252"/>
    </row>
    <row r="266" spans="1:14" ht="18.3" x14ac:dyDescent="0.7">
      <c r="A266" s="252"/>
      <c r="B266" s="253" t="s">
        <v>232</v>
      </c>
      <c r="C266" s="252"/>
      <c r="D266" s="252"/>
      <c r="E266" s="252"/>
      <c r="F266" s="252"/>
      <c r="G266" s="252"/>
      <c r="H266" s="252"/>
      <c r="I266" s="252"/>
      <c r="J266" s="252"/>
      <c r="K266" s="252"/>
      <c r="L266" s="252"/>
      <c r="M266" s="252"/>
      <c r="N266" s="252"/>
    </row>
    <row r="267" spans="1:14" ht="17.7" x14ac:dyDescent="0.6">
      <c r="A267" s="252"/>
      <c r="B267" s="256"/>
      <c r="C267" s="257"/>
      <c r="D267" s="257"/>
      <c r="E267" s="257"/>
      <c r="F267" s="257"/>
      <c r="G267" s="257"/>
      <c r="H267" s="257"/>
      <c r="I267" s="258" t="s">
        <v>46</v>
      </c>
      <c r="J267" s="258" t="s">
        <v>78</v>
      </c>
      <c r="K267" s="258" t="s">
        <v>87</v>
      </c>
      <c r="L267" s="252"/>
      <c r="M267" s="252"/>
      <c r="N267" s="252"/>
    </row>
    <row r="268" spans="1:14" ht="15.6" x14ac:dyDescent="0.6">
      <c r="A268" s="252"/>
      <c r="B268" s="66" t="s">
        <v>18</v>
      </c>
      <c r="C268" s="259"/>
      <c r="D268" s="259"/>
      <c r="E268" s="259"/>
      <c r="F268" s="259"/>
      <c r="G268" s="259"/>
      <c r="H268" s="259"/>
      <c r="I268" s="198" t="s">
        <v>48</v>
      </c>
      <c r="J268" s="198" t="s">
        <v>49</v>
      </c>
      <c r="K268" s="198" t="s">
        <v>50</v>
      </c>
      <c r="L268" s="252"/>
      <c r="M268" s="252"/>
      <c r="N268" s="252"/>
    </row>
    <row r="269" spans="1:14" ht="15.6" x14ac:dyDescent="0.6">
      <c r="A269" s="252"/>
      <c r="B269" s="260" t="s">
        <v>4</v>
      </c>
      <c r="C269" s="259"/>
      <c r="D269" s="261">
        <f>$D$11</f>
        <v>6000</v>
      </c>
      <c r="E269" s="288" t="s">
        <v>212</v>
      </c>
      <c r="F269" s="325">
        <f>K49</f>
        <v>6.2964000000000002</v>
      </c>
      <c r="G269" s="263">
        <f>L49</f>
        <v>9.0224999999999991</v>
      </c>
      <c r="H269" s="264" t="s">
        <v>47</v>
      </c>
      <c r="I269" s="265">
        <f>CEILING(D269*F269*G269,10)</f>
        <v>340860</v>
      </c>
      <c r="J269" s="179">
        <f>I269/$D$5</f>
        <v>56.81</v>
      </c>
      <c r="K269" s="266">
        <f>I269/$D$4</f>
        <v>340.86</v>
      </c>
      <c r="L269" s="252"/>
      <c r="M269" s="252"/>
      <c r="N269" s="252"/>
    </row>
    <row r="270" spans="1:14" ht="15.6" x14ac:dyDescent="0.6">
      <c r="A270" s="252"/>
      <c r="B270" s="260"/>
      <c r="C270" s="259"/>
      <c r="D270" s="261"/>
      <c r="E270" s="314" t="s">
        <v>214</v>
      </c>
      <c r="F270" s="289"/>
      <c r="G270" s="263"/>
      <c r="H270" s="264"/>
      <c r="I270" s="265"/>
      <c r="J270" s="179"/>
      <c r="K270" s="266"/>
      <c r="L270" s="252"/>
      <c r="M270" s="252"/>
      <c r="N270" s="252"/>
    </row>
    <row r="271" spans="1:14" ht="15.6" x14ac:dyDescent="0.6">
      <c r="A271" s="252"/>
      <c r="B271" s="260" t="s">
        <v>22</v>
      </c>
      <c r="C271" s="259"/>
      <c r="D271" s="261"/>
      <c r="E271" s="327" t="s">
        <v>225</v>
      </c>
      <c r="F271" s="259"/>
      <c r="G271" s="259"/>
      <c r="H271" s="259"/>
      <c r="I271" s="265"/>
      <c r="J271" s="265"/>
      <c r="K271" s="265"/>
      <c r="L271" s="252"/>
      <c r="M271" s="252"/>
      <c r="N271" s="252"/>
    </row>
    <row r="272" spans="1:14" ht="15.6" x14ac:dyDescent="0.6">
      <c r="A272" s="252"/>
      <c r="B272" s="66"/>
      <c r="C272" s="267" t="s">
        <v>19</v>
      </c>
      <c r="D272" s="261">
        <f>D$17+D$11*'Step 3'!E145</f>
        <v>912</v>
      </c>
      <c r="E272" s="328">
        <f>-(D$17-D272)/D$17</f>
        <v>1.3333333333333334E-2</v>
      </c>
      <c r="F272" s="346">
        <f>G49</f>
        <v>39.6</v>
      </c>
      <c r="G272" s="259" t="s">
        <v>55</v>
      </c>
      <c r="H272" s="252"/>
      <c r="I272" s="265">
        <f>CEILING(D272*F272,10)</f>
        <v>36120</v>
      </c>
      <c r="J272" s="179">
        <f t="shared" ref="J272:J273" si="61">I272/$D$5</f>
        <v>6.02</v>
      </c>
      <c r="K272" s="266">
        <f t="shared" ref="K272:K273" si="62">I272/$D$4</f>
        <v>36.119999999999997</v>
      </c>
      <c r="L272" s="252"/>
      <c r="M272" s="252"/>
      <c r="N272" s="252"/>
    </row>
    <row r="273" spans="1:14" ht="15.6" x14ac:dyDescent="0.6">
      <c r="A273" s="252"/>
      <c r="B273" s="66"/>
      <c r="C273" s="267" t="s">
        <v>215</v>
      </c>
      <c r="D273" s="261">
        <f>D$18+D$12*'Step 3'!E145</f>
        <v>380</v>
      </c>
      <c r="E273" s="328">
        <f>-(D$18-D273)/D$18</f>
        <v>1.3333333333333334E-2</v>
      </c>
      <c r="F273" s="346">
        <f>H49</f>
        <v>39.6</v>
      </c>
      <c r="G273" s="259" t="s">
        <v>55</v>
      </c>
      <c r="H273" s="252"/>
      <c r="I273" s="265">
        <f>CEILING(D273*F273,10)</f>
        <v>15050</v>
      </c>
      <c r="J273" s="179">
        <f t="shared" si="61"/>
        <v>2.5083333333333333</v>
      </c>
      <c r="K273" s="266">
        <f t="shared" si="62"/>
        <v>15.05</v>
      </c>
      <c r="L273" s="252"/>
      <c r="M273" s="252"/>
      <c r="N273" s="252"/>
    </row>
    <row r="274" spans="1:14" ht="15.6" x14ac:dyDescent="0.6">
      <c r="A274" s="252"/>
      <c r="B274" s="66"/>
      <c r="C274" s="267" t="s">
        <v>20</v>
      </c>
      <c r="D274" s="261"/>
      <c r="E274" s="326"/>
      <c r="F274" s="326"/>
      <c r="G274" s="326"/>
      <c r="H274" s="326"/>
      <c r="I274" s="127"/>
      <c r="J274" s="127"/>
      <c r="K274" s="127"/>
      <c r="L274" s="252"/>
      <c r="M274" s="252"/>
      <c r="N274" s="252"/>
    </row>
    <row r="275" spans="1:14" ht="15.6" x14ac:dyDescent="0.6">
      <c r="A275" s="252"/>
      <c r="B275" s="66"/>
      <c r="C275" s="273" t="s">
        <v>216</v>
      </c>
      <c r="D275" s="261">
        <f>D$59*D49</f>
        <v>5346</v>
      </c>
      <c r="E275" s="326"/>
      <c r="F275" s="269"/>
      <c r="G275" s="259"/>
      <c r="H275" s="252"/>
      <c r="I275" s="265"/>
      <c r="J275" s="179"/>
      <c r="K275" s="266"/>
      <c r="L275" s="252"/>
      <c r="M275" s="252"/>
      <c r="N275" s="252"/>
    </row>
    <row r="276" spans="1:14" ht="15.6" x14ac:dyDescent="0.6">
      <c r="A276" s="252"/>
      <c r="B276" s="66"/>
      <c r="C276" s="273" t="s">
        <v>98</v>
      </c>
      <c r="D276" s="261">
        <f>-D$11*E49</f>
        <v>-301.5</v>
      </c>
      <c r="E276" s="326"/>
      <c r="F276" s="269"/>
      <c r="G276" s="259"/>
      <c r="H276" s="252"/>
      <c r="I276" s="265"/>
      <c r="J276" s="179"/>
      <c r="K276" s="266"/>
      <c r="L276" s="252"/>
      <c r="M276" s="252"/>
      <c r="N276" s="252"/>
    </row>
    <row r="277" spans="1:14" ht="15.6" x14ac:dyDescent="0.6">
      <c r="A277" s="252"/>
      <c r="B277" s="66"/>
      <c r="C277" s="273" t="s">
        <v>222</v>
      </c>
      <c r="D277" s="261">
        <f>-D272</f>
        <v>-912</v>
      </c>
      <c r="E277" s="326"/>
      <c r="F277" s="269"/>
      <c r="G277" s="259"/>
      <c r="H277" s="252"/>
      <c r="I277" s="265"/>
      <c r="J277" s="179"/>
      <c r="K277" s="266"/>
      <c r="L277" s="252"/>
      <c r="M277" s="252"/>
      <c r="N277" s="252"/>
    </row>
    <row r="278" spans="1:14" ht="15.6" x14ac:dyDescent="0.6">
      <c r="A278" s="252"/>
      <c r="B278" s="66"/>
      <c r="C278" s="273" t="s">
        <v>210</v>
      </c>
      <c r="D278" s="261">
        <f>-D$12*F49</f>
        <v>-50.250000000000007</v>
      </c>
      <c r="E278" s="326"/>
      <c r="F278" s="269"/>
      <c r="G278" s="259"/>
      <c r="H278" s="252"/>
      <c r="I278" s="265"/>
      <c r="J278" s="179"/>
      <c r="K278" s="266"/>
      <c r="L278" s="252"/>
      <c r="M278" s="252"/>
      <c r="N278" s="252"/>
    </row>
    <row r="279" spans="1:14" ht="15.6" x14ac:dyDescent="0.6">
      <c r="A279" s="252"/>
      <c r="B279" s="66"/>
      <c r="C279" s="273" t="s">
        <v>217</v>
      </c>
      <c r="D279" s="285">
        <f>-D273</f>
        <v>-380</v>
      </c>
      <c r="E279" s="326"/>
      <c r="F279" s="269"/>
      <c r="G279" s="259"/>
      <c r="H279" s="252"/>
      <c r="I279" s="265"/>
      <c r="J279" s="179"/>
      <c r="K279" s="266"/>
      <c r="L279" s="252"/>
      <c r="M279" s="252"/>
      <c r="N279" s="252"/>
    </row>
    <row r="280" spans="1:14" ht="15.6" x14ac:dyDescent="0.6">
      <c r="A280" s="252"/>
      <c r="B280" s="66"/>
      <c r="C280" s="267"/>
      <c r="D280" s="261">
        <f>SUM(D275:D279)</f>
        <v>3702.25</v>
      </c>
      <c r="E280" s="329">
        <f>-(D$19-D280)/D$19</f>
        <v>-1.9271523178807946E-2</v>
      </c>
      <c r="F280" s="263">
        <f>I49</f>
        <v>59.4</v>
      </c>
      <c r="G280" s="259" t="s">
        <v>55</v>
      </c>
      <c r="H280" s="252"/>
      <c r="I280" s="265">
        <f>D280*F280</f>
        <v>219913.65</v>
      </c>
      <c r="J280" s="179">
        <f>I280/$D$5</f>
        <v>36.652274999999996</v>
      </c>
      <c r="K280" s="266">
        <f>I280/$D$4</f>
        <v>219.91364999999999</v>
      </c>
      <c r="L280" s="252"/>
      <c r="M280" s="252"/>
      <c r="N280" s="252"/>
    </row>
    <row r="281" spans="1:14" ht="15.6" x14ac:dyDescent="0.6">
      <c r="A281" s="252"/>
      <c r="B281" s="66"/>
      <c r="C281" s="267" t="s">
        <v>21</v>
      </c>
      <c r="D281" s="261">
        <f>D$25</f>
        <v>12</v>
      </c>
      <c r="E281" s="268" t="s">
        <v>57</v>
      </c>
      <c r="F281" s="263">
        <f>J49</f>
        <v>39.6</v>
      </c>
      <c r="G281" s="259" t="s">
        <v>55</v>
      </c>
      <c r="H281" s="252"/>
      <c r="I281" s="270">
        <f>CEILING(D281*F281,10)</f>
        <v>480</v>
      </c>
      <c r="J281" s="271">
        <f t="shared" ref="J281" si="63">I281/$D$5</f>
        <v>0.08</v>
      </c>
      <c r="K281" s="272">
        <f t="shared" ref="K281:K282" si="64">I281/$D$4</f>
        <v>0.48</v>
      </c>
      <c r="L281" s="252"/>
      <c r="M281" s="252"/>
      <c r="N281" s="252"/>
    </row>
    <row r="282" spans="1:14" ht="15.6" x14ac:dyDescent="0.6">
      <c r="A282" s="252"/>
      <c r="B282" s="66"/>
      <c r="C282" s="267"/>
      <c r="D282" s="267"/>
      <c r="E282" s="268"/>
      <c r="F282" s="268"/>
      <c r="G282" s="259"/>
      <c r="H282" s="259"/>
      <c r="I282" s="265">
        <f>SUM(I272:I281)</f>
        <v>271563.65000000002</v>
      </c>
      <c r="J282" s="179">
        <f>I282/$D$5</f>
        <v>45.260608333333337</v>
      </c>
      <c r="K282" s="266">
        <f t="shared" si="64"/>
        <v>271.56365</v>
      </c>
      <c r="L282" s="252"/>
      <c r="M282" s="252"/>
      <c r="N282" s="252"/>
    </row>
    <row r="283" spans="1:14" ht="15.6" x14ac:dyDescent="0.6">
      <c r="A283" s="252"/>
      <c r="B283" s="260" t="s">
        <v>28</v>
      </c>
      <c r="C283" s="273"/>
      <c r="D283" s="273"/>
      <c r="E283" s="268"/>
      <c r="F283" s="268"/>
      <c r="G283" s="259"/>
      <c r="H283" s="259"/>
      <c r="I283" s="265"/>
      <c r="J283" s="265"/>
      <c r="K283" s="265"/>
      <c r="L283" s="252"/>
      <c r="M283" s="252"/>
      <c r="N283" s="252"/>
    </row>
    <row r="284" spans="1:14" ht="15.6" x14ac:dyDescent="0.6">
      <c r="A284" s="252"/>
      <c r="B284" s="274"/>
      <c r="C284" s="267" t="s">
        <v>1</v>
      </c>
      <c r="D284" s="261" t="s">
        <v>99</v>
      </c>
      <c r="E284" s="268"/>
      <c r="F284" s="268"/>
      <c r="G284" s="259"/>
      <c r="H284" s="259"/>
      <c r="I284" s="266">
        <v>0</v>
      </c>
      <c r="J284" s="179">
        <f t="shared" ref="J284:J287" si="65">I284/$D$5</f>
        <v>0</v>
      </c>
      <c r="K284" s="266">
        <f t="shared" ref="K284:K287" si="66">I284/$D$4</f>
        <v>0</v>
      </c>
      <c r="L284" s="252"/>
      <c r="M284" s="252"/>
      <c r="N284" s="252"/>
    </row>
    <row r="285" spans="1:14" ht="15.6" x14ac:dyDescent="0.6">
      <c r="A285" s="252"/>
      <c r="B285" s="274"/>
      <c r="C285" s="267" t="s">
        <v>133</v>
      </c>
      <c r="D285" s="261" t="s">
        <v>134</v>
      </c>
      <c r="E285" s="268"/>
      <c r="F285" s="268"/>
      <c r="G285" s="259"/>
      <c r="H285" s="259"/>
      <c r="I285" s="266">
        <v>0</v>
      </c>
      <c r="J285" s="179">
        <f t="shared" si="65"/>
        <v>0</v>
      </c>
      <c r="K285" s="266">
        <f t="shared" si="66"/>
        <v>0</v>
      </c>
      <c r="L285" s="252"/>
      <c r="M285" s="252"/>
      <c r="N285" s="252"/>
    </row>
    <row r="286" spans="1:14" ht="15.6" x14ac:dyDescent="0.6">
      <c r="A286" s="252"/>
      <c r="B286" s="274"/>
      <c r="C286" s="267" t="s">
        <v>2</v>
      </c>
      <c r="D286" s="261">
        <f>D$25</f>
        <v>12</v>
      </c>
      <c r="E286" s="268" t="s">
        <v>57</v>
      </c>
      <c r="F286" s="269">
        <f>F$25</f>
        <v>800</v>
      </c>
      <c r="G286" s="259" t="s">
        <v>58</v>
      </c>
      <c r="H286" s="259"/>
      <c r="I286" s="272">
        <f>CEILING(-D286*F286,10)</f>
        <v>-9600</v>
      </c>
      <c r="J286" s="271">
        <f t="shared" si="65"/>
        <v>-1.6</v>
      </c>
      <c r="K286" s="272">
        <f t="shared" si="66"/>
        <v>-9.6</v>
      </c>
      <c r="L286" s="252"/>
      <c r="M286" s="252"/>
      <c r="N286" s="252"/>
    </row>
    <row r="287" spans="1:14" ht="15.6" x14ac:dyDescent="0.6">
      <c r="A287" s="252"/>
      <c r="B287" s="66"/>
      <c r="C287" s="273"/>
      <c r="D287" s="273"/>
      <c r="E287" s="273"/>
      <c r="F287" s="273"/>
      <c r="G287" s="273"/>
      <c r="H287" s="273"/>
      <c r="I287" s="266">
        <f>SUM(I284:I286)</f>
        <v>-9600</v>
      </c>
      <c r="J287" s="179">
        <f t="shared" si="65"/>
        <v>-1.6</v>
      </c>
      <c r="K287" s="266">
        <f t="shared" si="66"/>
        <v>-9.6</v>
      </c>
      <c r="L287" s="252"/>
      <c r="M287" s="252"/>
      <c r="N287" s="252"/>
    </row>
    <row r="288" spans="1:14" ht="15.6" x14ac:dyDescent="0.6">
      <c r="A288" s="252"/>
      <c r="B288" s="275" t="s">
        <v>0</v>
      </c>
      <c r="C288" s="257"/>
      <c r="D288" s="257"/>
      <c r="E288" s="257"/>
      <c r="F288" s="257"/>
      <c r="G288" s="257"/>
      <c r="H288" s="257"/>
      <c r="I288" s="276">
        <f>I269+I282+I287</f>
        <v>602823.65</v>
      </c>
      <c r="J288" s="277">
        <f>J269+J282+J287</f>
        <v>100.47060833333335</v>
      </c>
      <c r="K288" s="278">
        <f>K269+K282+K287</f>
        <v>602.82364999999993</v>
      </c>
      <c r="L288" s="252"/>
      <c r="M288" s="252"/>
      <c r="N288" s="252"/>
    </row>
    <row r="289" spans="1:14" ht="15.6" x14ac:dyDescent="0.6">
      <c r="A289" s="252"/>
      <c r="B289" s="66" t="s">
        <v>23</v>
      </c>
      <c r="C289" s="259"/>
      <c r="D289" s="259"/>
      <c r="E289" s="259"/>
      <c r="F289" s="259"/>
      <c r="G289" s="259"/>
      <c r="H289" s="259"/>
      <c r="I289" s="198" t="s">
        <v>48</v>
      </c>
      <c r="J289" s="198" t="s">
        <v>49</v>
      </c>
      <c r="K289" s="198" t="s">
        <v>50</v>
      </c>
      <c r="L289" s="252"/>
      <c r="M289" s="252"/>
      <c r="N289" s="252"/>
    </row>
    <row r="290" spans="1:14" ht="15.6" x14ac:dyDescent="0.6">
      <c r="A290" s="252"/>
      <c r="B290" s="260" t="s">
        <v>3</v>
      </c>
      <c r="C290" s="259"/>
      <c r="D290" s="259"/>
      <c r="E290" s="259"/>
      <c r="F290" s="259"/>
      <c r="G290" s="259"/>
      <c r="L290" s="252"/>
      <c r="M290" s="252"/>
      <c r="N290" s="252"/>
    </row>
    <row r="291" spans="1:14" ht="15.6" x14ac:dyDescent="0.6">
      <c r="A291" s="252"/>
      <c r="B291" s="260"/>
      <c r="C291" s="259" t="s">
        <v>224</v>
      </c>
      <c r="D291" s="261">
        <f>D$15</f>
        <v>10185</v>
      </c>
      <c r="E291" s="262" t="s">
        <v>57</v>
      </c>
      <c r="F291" s="263">
        <f>F$30</f>
        <v>3.5</v>
      </c>
      <c r="G291" s="264" t="s">
        <v>204</v>
      </c>
      <c r="H291" s="259"/>
      <c r="I291" s="265">
        <f>CEILING(D291*F291,10)</f>
        <v>35650</v>
      </c>
      <c r="J291" s="179">
        <f>I291/$D$5</f>
        <v>5.9416666666666664</v>
      </c>
      <c r="K291" s="266">
        <f>I291/$D$4</f>
        <v>35.65</v>
      </c>
      <c r="L291" s="252"/>
      <c r="M291" s="252"/>
      <c r="N291" s="252"/>
    </row>
    <row r="292" spans="1:14" ht="15.6" x14ac:dyDescent="0.6">
      <c r="A292" s="252"/>
      <c r="B292" s="260"/>
      <c r="C292" s="259" t="s">
        <v>135</v>
      </c>
      <c r="D292" s="261">
        <f>D275</f>
        <v>5346</v>
      </c>
      <c r="E292" s="262" t="s">
        <v>57</v>
      </c>
      <c r="F292" s="263">
        <f>F$31</f>
        <v>3.5</v>
      </c>
      <c r="G292" s="264" t="s">
        <v>204</v>
      </c>
      <c r="H292" s="259"/>
      <c r="I292" s="265">
        <f>CEILING(D292*F292,10)</f>
        <v>18720</v>
      </c>
      <c r="J292" s="179">
        <f>I292/$D$5</f>
        <v>3.12</v>
      </c>
      <c r="K292" s="266">
        <f>I292/$D$4</f>
        <v>18.72</v>
      </c>
      <c r="L292" s="252"/>
      <c r="M292" s="252"/>
      <c r="N292" s="252"/>
    </row>
    <row r="293" spans="1:14" ht="15.6" x14ac:dyDescent="0.6">
      <c r="A293" s="252"/>
      <c r="B293" s="260" t="s">
        <v>97</v>
      </c>
      <c r="C293" s="259"/>
      <c r="D293" s="261">
        <f>D291</f>
        <v>10185</v>
      </c>
      <c r="E293" s="262" t="s">
        <v>57</v>
      </c>
      <c r="F293" s="263">
        <f>I293/D293</f>
        <v>2.903289150711831</v>
      </c>
      <c r="G293" s="264" t="s">
        <v>204</v>
      </c>
      <c r="H293" s="259"/>
      <c r="I293" s="265">
        <f>'Step 3'!E92</f>
        <v>29570</v>
      </c>
      <c r="J293" s="179">
        <f t="shared" ref="J293:J297" si="67">I293/$D$5</f>
        <v>4.9283333333333337</v>
      </c>
      <c r="K293" s="266">
        <f t="shared" ref="K293:K297" si="68">I293/$D$4</f>
        <v>29.57</v>
      </c>
      <c r="L293" s="252"/>
      <c r="M293" s="252"/>
      <c r="N293" s="252"/>
    </row>
    <row r="294" spans="1:14" ht="15.6" x14ac:dyDescent="0.6">
      <c r="A294" s="252"/>
      <c r="B294" s="260" t="s">
        <v>24</v>
      </c>
      <c r="C294" s="259"/>
      <c r="D294" s="261">
        <f>D291</f>
        <v>10185</v>
      </c>
      <c r="E294" s="262" t="str">
        <f>E291</f>
        <v>hd @</v>
      </c>
      <c r="F294" s="263">
        <f>F$33</f>
        <v>6.5</v>
      </c>
      <c r="G294" s="264" t="s">
        <v>204</v>
      </c>
      <c r="H294" s="259"/>
      <c r="I294" s="265">
        <f>CEILING(D294*F294,10)</f>
        <v>66210</v>
      </c>
      <c r="J294" s="179">
        <f t="shared" si="67"/>
        <v>11.035</v>
      </c>
      <c r="K294" s="266">
        <f t="shared" si="68"/>
        <v>66.209999999999994</v>
      </c>
      <c r="L294" s="252"/>
      <c r="M294" s="252"/>
      <c r="N294" s="252"/>
    </row>
    <row r="295" spans="1:14" ht="15.6" x14ac:dyDescent="0.6">
      <c r="A295" s="252"/>
      <c r="B295" s="260" t="s">
        <v>25</v>
      </c>
      <c r="C295" s="259"/>
      <c r="D295" s="279">
        <f>D269*F269/170</f>
        <v>222.2258823529412</v>
      </c>
      <c r="E295" s="262" t="s">
        <v>59</v>
      </c>
      <c r="F295" s="263">
        <f>F$34</f>
        <v>20</v>
      </c>
      <c r="G295" s="264" t="s">
        <v>60</v>
      </c>
      <c r="H295" s="259"/>
      <c r="I295" s="265">
        <f>CEILING(D295*F295,10)</f>
        <v>4450</v>
      </c>
      <c r="J295" s="179">
        <f t="shared" si="67"/>
        <v>0.7416666666666667</v>
      </c>
      <c r="K295" s="266">
        <f t="shared" si="68"/>
        <v>4.45</v>
      </c>
      <c r="L295" s="252"/>
      <c r="M295" s="252"/>
      <c r="N295" s="252"/>
    </row>
    <row r="296" spans="1:14" ht="15.6" x14ac:dyDescent="0.6">
      <c r="A296" s="252"/>
      <c r="B296" s="260" t="s">
        <v>26</v>
      </c>
      <c r="C296" s="259"/>
      <c r="D296" s="259"/>
      <c r="E296" s="259"/>
      <c r="F296" s="263">
        <f>F$35</f>
        <v>15</v>
      </c>
      <c r="G296" s="264" t="s">
        <v>60</v>
      </c>
      <c r="H296" s="259"/>
      <c r="I296" s="265">
        <f>CEILING(D295*F296,10)</f>
        <v>3340</v>
      </c>
      <c r="J296" s="179">
        <f t="shared" si="67"/>
        <v>0.55666666666666664</v>
      </c>
      <c r="K296" s="266">
        <f t="shared" si="68"/>
        <v>3.34</v>
      </c>
      <c r="L296" s="252"/>
      <c r="M296" s="252"/>
      <c r="N296" s="252"/>
    </row>
    <row r="297" spans="1:14" ht="15.6" x14ac:dyDescent="0.6">
      <c r="A297" s="252"/>
      <c r="B297" s="260" t="s">
        <v>27</v>
      </c>
      <c r="C297" s="259"/>
      <c r="D297" s="261">
        <f>D272+D273+D280+D281+D286</f>
        <v>5018.25</v>
      </c>
      <c r="E297" s="268" t="s">
        <v>57</v>
      </c>
      <c r="F297" s="263">
        <f>F$36</f>
        <v>2</v>
      </c>
      <c r="G297" s="264" t="s">
        <v>61</v>
      </c>
      <c r="H297" s="259"/>
      <c r="I297" s="265">
        <f>CEILING(D297*F297,10)</f>
        <v>10040</v>
      </c>
      <c r="J297" s="179">
        <f t="shared" si="67"/>
        <v>1.6733333333333333</v>
      </c>
      <c r="K297" s="266">
        <f t="shared" si="68"/>
        <v>10.039999999999999</v>
      </c>
      <c r="L297" s="252"/>
      <c r="M297" s="252"/>
      <c r="N297" s="252"/>
    </row>
    <row r="298" spans="1:14" ht="15.6" x14ac:dyDescent="0.6">
      <c r="A298" s="252"/>
      <c r="B298" s="275" t="s">
        <v>41</v>
      </c>
      <c r="C298" s="257"/>
      <c r="D298" s="257"/>
      <c r="E298" s="280"/>
      <c r="F298" s="257"/>
      <c r="G298" s="257"/>
      <c r="H298" s="257"/>
      <c r="I298" s="276">
        <f>SUM(I291:I297)</f>
        <v>167980</v>
      </c>
      <c r="J298" s="277">
        <f>SUM(J291:J297)</f>
        <v>27.99666666666667</v>
      </c>
      <c r="K298" s="278">
        <f>SUM(K291:K297)</f>
        <v>167.97999999999996</v>
      </c>
      <c r="L298" s="252"/>
      <c r="M298" s="252"/>
      <c r="N298" s="252"/>
    </row>
    <row r="299" spans="1:14" ht="15.6" x14ac:dyDescent="0.6">
      <c r="A299" s="252"/>
      <c r="B299" s="281" t="s">
        <v>62</v>
      </c>
      <c r="C299" s="257"/>
      <c r="D299" s="257"/>
      <c r="E299" s="280"/>
      <c r="F299" s="257"/>
      <c r="G299" s="257"/>
      <c r="H299" s="257"/>
      <c r="I299" s="276">
        <f>I288-I298</f>
        <v>434843.65</v>
      </c>
      <c r="J299" s="277">
        <f>J288-J298</f>
        <v>72.473941666666676</v>
      </c>
      <c r="K299" s="278">
        <f>K288-K298</f>
        <v>434.84364999999997</v>
      </c>
      <c r="L299" s="252"/>
      <c r="M299" s="252"/>
      <c r="N299" s="252"/>
    </row>
    <row r="300" spans="1:14" ht="15.6" x14ac:dyDescent="0.6">
      <c r="A300" s="252"/>
      <c r="B300" s="282"/>
      <c r="C300" s="255"/>
      <c r="D300" s="255"/>
      <c r="E300" s="255"/>
      <c r="F300" s="255"/>
      <c r="G300" s="255"/>
      <c r="H300" s="255"/>
      <c r="I300" s="255"/>
      <c r="J300" s="255"/>
      <c r="K300" s="255"/>
      <c r="L300" s="252"/>
      <c r="M300" s="252"/>
      <c r="N300" s="252"/>
    </row>
    <row r="301" spans="1:14" ht="18.3" x14ac:dyDescent="0.7">
      <c r="A301" s="252"/>
      <c r="B301" s="253" t="s">
        <v>233</v>
      </c>
      <c r="C301" s="252"/>
      <c r="D301" s="252"/>
      <c r="E301" s="252"/>
      <c r="F301" s="252"/>
      <c r="G301" s="252"/>
      <c r="H301" s="252"/>
      <c r="I301" s="252"/>
      <c r="J301" s="252"/>
      <c r="K301" s="252"/>
      <c r="L301" s="252"/>
      <c r="M301" s="252"/>
      <c r="N301" s="252"/>
    </row>
    <row r="302" spans="1:14" ht="17.7" x14ac:dyDescent="0.6">
      <c r="A302" s="252"/>
      <c r="B302" s="256"/>
      <c r="C302" s="257"/>
      <c r="D302" s="257"/>
      <c r="E302" s="257"/>
      <c r="F302" s="257"/>
      <c r="G302" s="257"/>
      <c r="H302" s="257"/>
      <c r="I302" s="258" t="s">
        <v>46</v>
      </c>
      <c r="J302" s="258" t="s">
        <v>78</v>
      </c>
      <c r="K302" s="258" t="s">
        <v>87</v>
      </c>
      <c r="L302" s="252"/>
      <c r="M302" s="252"/>
      <c r="N302" s="252"/>
    </row>
    <row r="303" spans="1:14" ht="15.6" x14ac:dyDescent="0.6">
      <c r="A303" s="252"/>
      <c r="B303" s="66" t="s">
        <v>18</v>
      </c>
      <c r="C303" s="259"/>
      <c r="D303" s="259"/>
      <c r="E303" s="259"/>
      <c r="F303" s="259"/>
      <c r="G303" s="259"/>
      <c r="H303" s="259"/>
      <c r="I303" s="198" t="s">
        <v>48</v>
      </c>
      <c r="J303" s="198" t="s">
        <v>49</v>
      </c>
      <c r="K303" s="198" t="s">
        <v>50</v>
      </c>
      <c r="L303" s="252"/>
      <c r="M303" s="252"/>
      <c r="N303" s="252"/>
    </row>
    <row r="304" spans="1:14" ht="15.6" x14ac:dyDescent="0.6">
      <c r="A304" s="252"/>
      <c r="B304" s="260" t="s">
        <v>4</v>
      </c>
      <c r="C304" s="259"/>
      <c r="D304" s="261">
        <f>$D$11</f>
        <v>6000</v>
      </c>
      <c r="E304" s="288" t="s">
        <v>212</v>
      </c>
      <c r="F304" s="325">
        <f>K50</f>
        <v>6.2964000000000002</v>
      </c>
      <c r="G304" s="263">
        <f>L50</f>
        <v>9.0224999999999991</v>
      </c>
      <c r="H304" s="264" t="s">
        <v>47</v>
      </c>
      <c r="I304" s="265">
        <f>CEILING(D304*F304*G304,10)</f>
        <v>340860</v>
      </c>
      <c r="J304" s="179">
        <f>I304/$D$5</f>
        <v>56.81</v>
      </c>
      <c r="K304" s="266">
        <f>I304/$D$4</f>
        <v>340.86</v>
      </c>
      <c r="L304" s="252"/>
      <c r="M304" s="252"/>
      <c r="N304" s="252"/>
    </row>
    <row r="305" spans="1:14" ht="15.6" x14ac:dyDescent="0.6">
      <c r="A305" s="252"/>
      <c r="B305" s="260"/>
      <c r="C305" s="259"/>
      <c r="D305" s="261"/>
      <c r="E305" s="314" t="s">
        <v>214</v>
      </c>
      <c r="F305" s="289"/>
      <c r="G305" s="263"/>
      <c r="H305" s="264"/>
      <c r="I305" s="265"/>
      <c r="J305" s="179"/>
      <c r="K305" s="266"/>
      <c r="L305" s="252"/>
      <c r="M305" s="252"/>
      <c r="N305" s="252"/>
    </row>
    <row r="306" spans="1:14" ht="15.6" x14ac:dyDescent="0.6">
      <c r="A306" s="252"/>
      <c r="B306" s="260" t="s">
        <v>22</v>
      </c>
      <c r="C306" s="259"/>
      <c r="D306" s="261"/>
      <c r="E306" s="327" t="s">
        <v>225</v>
      </c>
      <c r="F306" s="259"/>
      <c r="G306" s="259"/>
      <c r="H306" s="259"/>
      <c r="I306" s="265"/>
      <c r="J306" s="265"/>
      <c r="K306" s="265"/>
      <c r="L306" s="252"/>
      <c r="M306" s="252"/>
      <c r="N306" s="252"/>
    </row>
    <row r="307" spans="1:14" ht="15.6" x14ac:dyDescent="0.6">
      <c r="A307" s="252"/>
      <c r="B307" s="66"/>
      <c r="C307" s="267" t="s">
        <v>19</v>
      </c>
      <c r="D307" s="261">
        <f>D$17+D$11*'Step 3'!E146</f>
        <v>912</v>
      </c>
      <c r="E307" s="328">
        <f>-(D$17-D307)/D$17</f>
        <v>1.3333333333333334E-2</v>
      </c>
      <c r="F307" s="346">
        <f>G50</f>
        <v>39.6</v>
      </c>
      <c r="G307" s="259" t="s">
        <v>55</v>
      </c>
      <c r="H307" s="252"/>
      <c r="I307" s="265">
        <f>CEILING(D307*F307,10)</f>
        <v>36120</v>
      </c>
      <c r="J307" s="179">
        <f t="shared" ref="J307:J308" si="69">I307/$D$5</f>
        <v>6.02</v>
      </c>
      <c r="K307" s="266">
        <f t="shared" ref="K307:K308" si="70">I307/$D$4</f>
        <v>36.119999999999997</v>
      </c>
      <c r="L307" s="252"/>
      <c r="M307" s="252"/>
      <c r="N307" s="252"/>
    </row>
    <row r="308" spans="1:14" ht="15.6" x14ac:dyDescent="0.6">
      <c r="A308" s="252"/>
      <c r="B308" s="66"/>
      <c r="C308" s="267" t="s">
        <v>215</v>
      </c>
      <c r="D308" s="261">
        <f>D$18+D$12*'Step 3'!E146</f>
        <v>380</v>
      </c>
      <c r="E308" s="328">
        <f>-(D$18-D308)/D$18</f>
        <v>1.3333333333333334E-2</v>
      </c>
      <c r="F308" s="346">
        <f>H50</f>
        <v>39.6</v>
      </c>
      <c r="G308" s="259" t="s">
        <v>55</v>
      </c>
      <c r="H308" s="252"/>
      <c r="I308" s="265">
        <f>CEILING(D308*F308,10)</f>
        <v>15050</v>
      </c>
      <c r="J308" s="179">
        <f t="shared" si="69"/>
        <v>2.5083333333333333</v>
      </c>
      <c r="K308" s="266">
        <f t="shared" si="70"/>
        <v>15.05</v>
      </c>
      <c r="L308" s="252"/>
      <c r="M308" s="252"/>
      <c r="N308" s="252"/>
    </row>
    <row r="309" spans="1:14" ht="15.6" x14ac:dyDescent="0.6">
      <c r="A309" s="252"/>
      <c r="B309" s="66"/>
      <c r="C309" s="267" t="s">
        <v>20</v>
      </c>
      <c r="D309" s="261"/>
      <c r="E309" s="326"/>
      <c r="F309" s="326"/>
      <c r="G309" s="326"/>
      <c r="H309" s="326"/>
      <c r="I309" s="127"/>
      <c r="J309" s="127"/>
      <c r="K309" s="127"/>
      <c r="L309" s="252"/>
      <c r="M309" s="252"/>
      <c r="N309" s="252"/>
    </row>
    <row r="310" spans="1:14" ht="15.6" x14ac:dyDescent="0.6">
      <c r="A310" s="252"/>
      <c r="B310" s="66"/>
      <c r="C310" s="273" t="s">
        <v>216</v>
      </c>
      <c r="D310" s="261">
        <f>D$59*D50</f>
        <v>5346</v>
      </c>
      <c r="E310" s="326"/>
      <c r="F310" s="269"/>
      <c r="G310" s="259"/>
      <c r="H310" s="252"/>
      <c r="I310" s="265"/>
      <c r="J310" s="179"/>
      <c r="K310" s="266"/>
      <c r="L310" s="252"/>
      <c r="M310" s="252"/>
      <c r="N310" s="252"/>
    </row>
    <row r="311" spans="1:14" ht="15.6" x14ac:dyDescent="0.6">
      <c r="A311" s="252"/>
      <c r="B311" s="66"/>
      <c r="C311" s="273" t="s">
        <v>98</v>
      </c>
      <c r="D311" s="261">
        <f>-D$11*E50</f>
        <v>-301.5</v>
      </c>
      <c r="E311" s="326"/>
      <c r="F311" s="269"/>
      <c r="G311" s="259"/>
      <c r="H311" s="252"/>
      <c r="I311" s="265"/>
      <c r="J311" s="179"/>
      <c r="K311" s="266"/>
      <c r="L311" s="252"/>
      <c r="M311" s="252"/>
      <c r="N311" s="252"/>
    </row>
    <row r="312" spans="1:14" ht="15.6" x14ac:dyDescent="0.6">
      <c r="A312" s="252"/>
      <c r="B312" s="66"/>
      <c r="C312" s="273" t="s">
        <v>222</v>
      </c>
      <c r="D312" s="261">
        <f>-D307</f>
        <v>-912</v>
      </c>
      <c r="E312" s="326"/>
      <c r="F312" s="269"/>
      <c r="G312" s="259"/>
      <c r="H312" s="252"/>
      <c r="I312" s="265"/>
      <c r="J312" s="179"/>
      <c r="K312" s="266"/>
      <c r="L312" s="252"/>
      <c r="M312" s="252"/>
      <c r="N312" s="252"/>
    </row>
    <row r="313" spans="1:14" ht="15.6" x14ac:dyDescent="0.6">
      <c r="A313" s="252"/>
      <c r="B313" s="66"/>
      <c r="C313" s="273" t="s">
        <v>210</v>
      </c>
      <c r="D313" s="261">
        <f>-D$12*F50</f>
        <v>-50.250000000000007</v>
      </c>
      <c r="E313" s="326"/>
      <c r="F313" s="269"/>
      <c r="G313" s="259"/>
      <c r="H313" s="252"/>
      <c r="I313" s="265"/>
      <c r="J313" s="179"/>
      <c r="K313" s="266"/>
      <c r="L313" s="252"/>
      <c r="M313" s="252"/>
      <c r="N313" s="252"/>
    </row>
    <row r="314" spans="1:14" ht="15.6" x14ac:dyDescent="0.6">
      <c r="A314" s="252"/>
      <c r="B314" s="66"/>
      <c r="C314" s="273" t="s">
        <v>217</v>
      </c>
      <c r="D314" s="285">
        <f>-D308</f>
        <v>-380</v>
      </c>
      <c r="E314" s="326"/>
      <c r="F314" s="269"/>
      <c r="G314" s="259"/>
      <c r="H314" s="252"/>
      <c r="I314" s="265"/>
      <c r="J314" s="179"/>
      <c r="K314" s="266"/>
      <c r="L314" s="252"/>
      <c r="M314" s="252"/>
      <c r="N314" s="252"/>
    </row>
    <row r="315" spans="1:14" ht="15.6" x14ac:dyDescent="0.6">
      <c r="A315" s="252"/>
      <c r="B315" s="66"/>
      <c r="C315" s="267"/>
      <c r="D315" s="261">
        <f>SUM(D310:D314)</f>
        <v>3702.25</v>
      </c>
      <c r="E315" s="329">
        <f>-(D$19-D315)/D$19</f>
        <v>-1.9271523178807946E-2</v>
      </c>
      <c r="F315" s="263">
        <f>I50</f>
        <v>59.4</v>
      </c>
      <c r="G315" s="259" t="s">
        <v>55</v>
      </c>
      <c r="H315" s="252"/>
      <c r="I315" s="265">
        <f>D315*F315</f>
        <v>219913.65</v>
      </c>
      <c r="J315" s="179">
        <f>I315/$D$5</f>
        <v>36.652274999999996</v>
      </c>
      <c r="K315" s="266">
        <f>I315/$D$4</f>
        <v>219.91364999999999</v>
      </c>
      <c r="L315" s="252"/>
      <c r="M315" s="252"/>
      <c r="N315" s="252"/>
    </row>
    <row r="316" spans="1:14" ht="15.6" x14ac:dyDescent="0.6">
      <c r="A316" s="252"/>
      <c r="B316" s="66"/>
      <c r="C316" s="267" t="s">
        <v>21</v>
      </c>
      <c r="D316" s="261">
        <f>D$25</f>
        <v>12</v>
      </c>
      <c r="E316" s="268" t="s">
        <v>57</v>
      </c>
      <c r="F316" s="263">
        <f>J50</f>
        <v>39.6</v>
      </c>
      <c r="G316" s="259" t="s">
        <v>55</v>
      </c>
      <c r="H316" s="252"/>
      <c r="I316" s="270">
        <f>CEILING(D316*F316,10)</f>
        <v>480</v>
      </c>
      <c r="J316" s="271">
        <f t="shared" ref="J316" si="71">I316/$D$5</f>
        <v>0.08</v>
      </c>
      <c r="K316" s="272">
        <f t="shared" ref="K316:K317" si="72">I316/$D$4</f>
        <v>0.48</v>
      </c>
      <c r="L316" s="252"/>
      <c r="M316" s="252"/>
      <c r="N316" s="252"/>
    </row>
    <row r="317" spans="1:14" ht="15.6" x14ac:dyDescent="0.6">
      <c r="A317" s="252"/>
      <c r="B317" s="66"/>
      <c r="C317" s="267"/>
      <c r="D317" s="267"/>
      <c r="E317" s="268"/>
      <c r="F317" s="268"/>
      <c r="G317" s="259"/>
      <c r="H317" s="259"/>
      <c r="I317" s="265">
        <f>SUM(I307:I316)</f>
        <v>271563.65000000002</v>
      </c>
      <c r="J317" s="179">
        <f>I317/$D$5</f>
        <v>45.260608333333337</v>
      </c>
      <c r="K317" s="266">
        <f t="shared" si="72"/>
        <v>271.56365</v>
      </c>
      <c r="L317" s="252"/>
      <c r="M317" s="252"/>
      <c r="N317" s="252"/>
    </row>
    <row r="318" spans="1:14" ht="15.6" x14ac:dyDescent="0.6">
      <c r="A318" s="252"/>
      <c r="B318" s="260" t="s">
        <v>28</v>
      </c>
      <c r="C318" s="273"/>
      <c r="D318" s="273"/>
      <c r="E318" s="268"/>
      <c r="F318" s="268"/>
      <c r="G318" s="259"/>
      <c r="H318" s="259"/>
      <c r="I318" s="265"/>
      <c r="J318" s="265"/>
      <c r="K318" s="265"/>
      <c r="L318" s="252"/>
      <c r="M318" s="252"/>
      <c r="N318" s="252"/>
    </row>
    <row r="319" spans="1:14" ht="15.6" x14ac:dyDescent="0.6">
      <c r="A319" s="252"/>
      <c r="B319" s="274"/>
      <c r="C319" s="267" t="s">
        <v>1</v>
      </c>
      <c r="D319" s="261" t="s">
        <v>99</v>
      </c>
      <c r="E319" s="268"/>
      <c r="F319" s="268"/>
      <c r="G319" s="259"/>
      <c r="H319" s="259"/>
      <c r="I319" s="266">
        <v>0</v>
      </c>
      <c r="J319" s="179">
        <f t="shared" ref="J319:J322" si="73">I319/$D$5</f>
        <v>0</v>
      </c>
      <c r="K319" s="266">
        <f t="shared" ref="K319:K322" si="74">I319/$D$4</f>
        <v>0</v>
      </c>
      <c r="L319" s="252"/>
      <c r="M319" s="252"/>
      <c r="N319" s="252"/>
    </row>
    <row r="320" spans="1:14" ht="15.6" x14ac:dyDescent="0.6">
      <c r="A320" s="252"/>
      <c r="B320" s="274"/>
      <c r="C320" s="267" t="s">
        <v>133</v>
      </c>
      <c r="D320" s="261" t="s">
        <v>134</v>
      </c>
      <c r="E320" s="268"/>
      <c r="F320" s="268"/>
      <c r="G320" s="259"/>
      <c r="H320" s="259"/>
      <c r="I320" s="266">
        <v>0</v>
      </c>
      <c r="J320" s="179">
        <f t="shared" si="73"/>
        <v>0</v>
      </c>
      <c r="K320" s="266">
        <f t="shared" si="74"/>
        <v>0</v>
      </c>
      <c r="L320" s="252"/>
      <c r="M320" s="252"/>
      <c r="N320" s="252"/>
    </row>
    <row r="321" spans="1:14" ht="15.6" x14ac:dyDescent="0.6">
      <c r="A321" s="252"/>
      <c r="B321" s="274"/>
      <c r="C321" s="267" t="s">
        <v>2</v>
      </c>
      <c r="D321" s="261">
        <f>D$25</f>
        <v>12</v>
      </c>
      <c r="E321" s="268" t="s">
        <v>57</v>
      </c>
      <c r="F321" s="269">
        <f>F$25</f>
        <v>800</v>
      </c>
      <c r="G321" s="259" t="s">
        <v>58</v>
      </c>
      <c r="H321" s="259"/>
      <c r="I321" s="272">
        <f>CEILING(-D321*F321,10)</f>
        <v>-9600</v>
      </c>
      <c r="J321" s="271">
        <f t="shared" si="73"/>
        <v>-1.6</v>
      </c>
      <c r="K321" s="272">
        <f t="shared" si="74"/>
        <v>-9.6</v>
      </c>
      <c r="L321" s="252"/>
      <c r="M321" s="252"/>
      <c r="N321" s="252"/>
    </row>
    <row r="322" spans="1:14" ht="15.6" x14ac:dyDescent="0.6">
      <c r="A322" s="252"/>
      <c r="B322" s="66"/>
      <c r="C322" s="273"/>
      <c r="D322" s="273"/>
      <c r="E322" s="273"/>
      <c r="F322" s="273"/>
      <c r="G322" s="273"/>
      <c r="H322" s="273"/>
      <c r="I322" s="266">
        <f>SUM(I319:I321)</f>
        <v>-9600</v>
      </c>
      <c r="J322" s="179">
        <f t="shared" si="73"/>
        <v>-1.6</v>
      </c>
      <c r="K322" s="266">
        <f t="shared" si="74"/>
        <v>-9.6</v>
      </c>
      <c r="L322" s="252"/>
      <c r="M322" s="252"/>
      <c r="N322" s="252"/>
    </row>
    <row r="323" spans="1:14" ht="15.6" x14ac:dyDescent="0.6">
      <c r="A323" s="252"/>
      <c r="B323" s="275" t="s">
        <v>0</v>
      </c>
      <c r="C323" s="257"/>
      <c r="D323" s="257"/>
      <c r="E323" s="257"/>
      <c r="F323" s="257"/>
      <c r="G323" s="257"/>
      <c r="H323" s="257"/>
      <c r="I323" s="276">
        <f>I304+I317+I322</f>
        <v>602823.65</v>
      </c>
      <c r="J323" s="277">
        <f>J304+J317+J322</f>
        <v>100.47060833333335</v>
      </c>
      <c r="K323" s="278">
        <f>K304+K317+K322</f>
        <v>602.82364999999993</v>
      </c>
      <c r="L323" s="252"/>
      <c r="M323" s="252"/>
      <c r="N323" s="252"/>
    </row>
    <row r="324" spans="1:14" ht="15.6" x14ac:dyDescent="0.6">
      <c r="A324" s="252"/>
      <c r="B324" s="66" t="s">
        <v>23</v>
      </c>
      <c r="C324" s="259"/>
      <c r="D324" s="259"/>
      <c r="E324" s="259"/>
      <c r="F324" s="259"/>
      <c r="G324" s="259"/>
      <c r="H324" s="259"/>
      <c r="I324" s="198" t="s">
        <v>48</v>
      </c>
      <c r="J324" s="198" t="s">
        <v>49</v>
      </c>
      <c r="K324" s="198" t="s">
        <v>50</v>
      </c>
      <c r="L324" s="252"/>
      <c r="M324" s="252"/>
      <c r="N324" s="252"/>
    </row>
    <row r="325" spans="1:14" ht="15.6" x14ac:dyDescent="0.6">
      <c r="A325" s="252"/>
      <c r="B325" s="260" t="s">
        <v>3</v>
      </c>
      <c r="C325" s="259"/>
      <c r="D325" s="259"/>
      <c r="E325" s="259"/>
      <c r="F325" s="259"/>
      <c r="G325" s="259"/>
      <c r="L325" s="252"/>
      <c r="M325" s="252"/>
      <c r="N325" s="252"/>
    </row>
    <row r="326" spans="1:14" ht="15.6" x14ac:dyDescent="0.6">
      <c r="A326" s="252"/>
      <c r="B326" s="260"/>
      <c r="C326" s="259" t="s">
        <v>224</v>
      </c>
      <c r="D326" s="261">
        <f>D$15</f>
        <v>10185</v>
      </c>
      <c r="E326" s="262" t="s">
        <v>57</v>
      </c>
      <c r="F326" s="263">
        <f>F$30</f>
        <v>3.5</v>
      </c>
      <c r="G326" s="264" t="s">
        <v>204</v>
      </c>
      <c r="H326" s="259"/>
      <c r="I326" s="265">
        <f>CEILING(D326*F326,10)</f>
        <v>35650</v>
      </c>
      <c r="J326" s="179">
        <f>I326/$D$5</f>
        <v>5.9416666666666664</v>
      </c>
      <c r="K326" s="266">
        <f>I326/$D$4</f>
        <v>35.65</v>
      </c>
      <c r="L326" s="252"/>
      <c r="M326" s="252"/>
      <c r="N326" s="252"/>
    </row>
    <row r="327" spans="1:14" ht="15.6" x14ac:dyDescent="0.6">
      <c r="A327" s="252"/>
      <c r="B327" s="260"/>
      <c r="C327" s="259" t="s">
        <v>135</v>
      </c>
      <c r="D327" s="261">
        <f>D310</f>
        <v>5346</v>
      </c>
      <c r="E327" s="262" t="s">
        <v>57</v>
      </c>
      <c r="F327" s="263">
        <f>F$31</f>
        <v>3.5</v>
      </c>
      <c r="G327" s="264" t="s">
        <v>204</v>
      </c>
      <c r="H327" s="259"/>
      <c r="I327" s="265">
        <f>CEILING(D327*F327,10)</f>
        <v>18720</v>
      </c>
      <c r="J327" s="179">
        <f>I327/$D$5</f>
        <v>3.12</v>
      </c>
      <c r="K327" s="266">
        <f>I327/$D$4</f>
        <v>18.72</v>
      </c>
      <c r="L327" s="252"/>
      <c r="M327" s="252"/>
      <c r="N327" s="252"/>
    </row>
    <row r="328" spans="1:14" ht="15.6" x14ac:dyDescent="0.6">
      <c r="A328" s="252"/>
      <c r="B328" s="260" t="s">
        <v>97</v>
      </c>
      <c r="C328" s="259"/>
      <c r="D328" s="261">
        <f>D326</f>
        <v>10185</v>
      </c>
      <c r="E328" s="262" t="s">
        <v>57</v>
      </c>
      <c r="F328" s="263">
        <f>I328/D328</f>
        <v>2.903289150711831</v>
      </c>
      <c r="G328" s="264" t="s">
        <v>204</v>
      </c>
      <c r="H328" s="259"/>
      <c r="I328" s="265">
        <f>'Step 3'!E93</f>
        <v>29570</v>
      </c>
      <c r="J328" s="179">
        <f t="shared" ref="J328:J332" si="75">I328/$D$5</f>
        <v>4.9283333333333337</v>
      </c>
      <c r="K328" s="266">
        <f t="shared" ref="K328:K332" si="76">I328/$D$4</f>
        <v>29.57</v>
      </c>
      <c r="L328" s="252"/>
      <c r="M328" s="252"/>
      <c r="N328" s="252"/>
    </row>
    <row r="329" spans="1:14" ht="15.6" x14ac:dyDescent="0.6">
      <c r="A329" s="252"/>
      <c r="B329" s="260" t="s">
        <v>24</v>
      </c>
      <c r="C329" s="259"/>
      <c r="D329" s="261">
        <f>D326</f>
        <v>10185</v>
      </c>
      <c r="E329" s="262" t="str">
        <f>E326</f>
        <v>hd @</v>
      </c>
      <c r="F329" s="263">
        <f>F$33</f>
        <v>6.5</v>
      </c>
      <c r="G329" s="264" t="s">
        <v>204</v>
      </c>
      <c r="H329" s="259"/>
      <c r="I329" s="265">
        <f>CEILING(D329*F329,10)</f>
        <v>66210</v>
      </c>
      <c r="J329" s="179">
        <f t="shared" si="75"/>
        <v>11.035</v>
      </c>
      <c r="K329" s="266">
        <f t="shared" si="76"/>
        <v>66.209999999999994</v>
      </c>
      <c r="L329" s="252"/>
      <c r="M329" s="252"/>
      <c r="N329" s="252"/>
    </row>
    <row r="330" spans="1:14" ht="15.6" x14ac:dyDescent="0.6">
      <c r="A330" s="252"/>
      <c r="B330" s="260" t="s">
        <v>25</v>
      </c>
      <c r="C330" s="259"/>
      <c r="D330" s="279">
        <f>D304*F304/170</f>
        <v>222.2258823529412</v>
      </c>
      <c r="E330" s="262" t="s">
        <v>59</v>
      </c>
      <c r="F330" s="263">
        <f>F$34</f>
        <v>20</v>
      </c>
      <c r="G330" s="264" t="s">
        <v>60</v>
      </c>
      <c r="H330" s="259"/>
      <c r="I330" s="265">
        <f>CEILING(D330*F330,10)</f>
        <v>4450</v>
      </c>
      <c r="J330" s="179">
        <f t="shared" si="75"/>
        <v>0.7416666666666667</v>
      </c>
      <c r="K330" s="266">
        <f t="shared" si="76"/>
        <v>4.45</v>
      </c>
      <c r="L330" s="252"/>
      <c r="M330" s="252"/>
      <c r="N330" s="252"/>
    </row>
    <row r="331" spans="1:14" ht="15.6" x14ac:dyDescent="0.6">
      <c r="A331" s="252"/>
      <c r="B331" s="260" t="s">
        <v>26</v>
      </c>
      <c r="C331" s="259"/>
      <c r="D331" s="259"/>
      <c r="E331" s="259"/>
      <c r="F331" s="263">
        <f>F$35</f>
        <v>15</v>
      </c>
      <c r="G331" s="264" t="s">
        <v>60</v>
      </c>
      <c r="H331" s="259"/>
      <c r="I331" s="265">
        <f>CEILING(D330*F331,10)</f>
        <v>3340</v>
      </c>
      <c r="J331" s="179">
        <f t="shared" si="75"/>
        <v>0.55666666666666664</v>
      </c>
      <c r="K331" s="266">
        <f t="shared" si="76"/>
        <v>3.34</v>
      </c>
      <c r="L331" s="252"/>
      <c r="M331" s="252"/>
      <c r="N331" s="252"/>
    </row>
    <row r="332" spans="1:14" ht="15.6" x14ac:dyDescent="0.6">
      <c r="A332" s="252"/>
      <c r="B332" s="260" t="s">
        <v>27</v>
      </c>
      <c r="C332" s="259"/>
      <c r="D332" s="261">
        <f>D307+D308+D315+D316+D321</f>
        <v>5018.25</v>
      </c>
      <c r="E332" s="268" t="s">
        <v>57</v>
      </c>
      <c r="F332" s="263">
        <f>F$36</f>
        <v>2</v>
      </c>
      <c r="G332" s="264" t="s">
        <v>61</v>
      </c>
      <c r="H332" s="259"/>
      <c r="I332" s="265">
        <f>CEILING(D332*F332,10)</f>
        <v>10040</v>
      </c>
      <c r="J332" s="179">
        <f t="shared" si="75"/>
        <v>1.6733333333333333</v>
      </c>
      <c r="K332" s="266">
        <f t="shared" si="76"/>
        <v>10.039999999999999</v>
      </c>
      <c r="L332" s="252"/>
      <c r="M332" s="252"/>
      <c r="N332" s="252"/>
    </row>
    <row r="333" spans="1:14" ht="15.6" x14ac:dyDescent="0.6">
      <c r="A333" s="252"/>
      <c r="B333" s="275" t="s">
        <v>41</v>
      </c>
      <c r="C333" s="257"/>
      <c r="D333" s="257"/>
      <c r="E333" s="280"/>
      <c r="F333" s="257"/>
      <c r="G333" s="257"/>
      <c r="H333" s="257"/>
      <c r="I333" s="276">
        <f>SUM(I326:I332)</f>
        <v>167980</v>
      </c>
      <c r="J333" s="277">
        <f>SUM(J326:J332)</f>
        <v>27.99666666666667</v>
      </c>
      <c r="K333" s="278">
        <f>SUM(K326:K332)</f>
        <v>167.97999999999996</v>
      </c>
      <c r="L333" s="252"/>
      <c r="M333" s="252"/>
      <c r="N333" s="252"/>
    </row>
    <row r="334" spans="1:14" ht="15.6" x14ac:dyDescent="0.6">
      <c r="A334" s="252"/>
      <c r="B334" s="281" t="s">
        <v>62</v>
      </c>
      <c r="C334" s="257"/>
      <c r="D334" s="257"/>
      <c r="E334" s="280"/>
      <c r="F334" s="257"/>
      <c r="G334" s="257"/>
      <c r="H334" s="257"/>
      <c r="I334" s="276">
        <f>I323-I333</f>
        <v>434843.65</v>
      </c>
      <c r="J334" s="277">
        <f>J323-J333</f>
        <v>72.473941666666676</v>
      </c>
      <c r="K334" s="278">
        <f>K323-K333</f>
        <v>434.84364999999997</v>
      </c>
      <c r="L334" s="252"/>
      <c r="M334" s="252"/>
      <c r="N334" s="252"/>
    </row>
    <row r="335" spans="1:14" ht="15.6" x14ac:dyDescent="0.6">
      <c r="A335" s="252"/>
      <c r="B335" s="282"/>
      <c r="C335" s="255"/>
      <c r="D335" s="255"/>
      <c r="E335" s="255"/>
      <c r="F335" s="255"/>
      <c r="G335" s="255"/>
      <c r="H335" s="255"/>
      <c r="I335" s="255"/>
      <c r="J335" s="255"/>
      <c r="K335" s="255"/>
      <c r="L335" s="252"/>
      <c r="M335" s="252"/>
      <c r="N335" s="252"/>
    </row>
    <row r="336" spans="1:14" ht="18.3" x14ac:dyDescent="0.7">
      <c r="A336" s="252"/>
      <c r="B336" s="253" t="s">
        <v>234</v>
      </c>
      <c r="C336" s="252"/>
      <c r="D336" s="252"/>
      <c r="E336" s="252"/>
      <c r="F336" s="252"/>
      <c r="G336" s="252"/>
      <c r="H336" s="252"/>
      <c r="I336" s="252"/>
      <c r="J336" s="252"/>
      <c r="K336" s="252"/>
      <c r="L336" s="252"/>
      <c r="M336" s="252"/>
      <c r="N336" s="252"/>
    </row>
    <row r="337" spans="1:14" ht="17.7" x14ac:dyDescent="0.6">
      <c r="A337" s="252"/>
      <c r="B337" s="256"/>
      <c r="C337" s="257"/>
      <c r="D337" s="257"/>
      <c r="E337" s="257"/>
      <c r="F337" s="257"/>
      <c r="G337" s="257"/>
      <c r="H337" s="257"/>
      <c r="I337" s="258" t="s">
        <v>46</v>
      </c>
      <c r="J337" s="258" t="s">
        <v>78</v>
      </c>
      <c r="K337" s="258" t="s">
        <v>87</v>
      </c>
      <c r="L337" s="252"/>
      <c r="M337" s="252"/>
      <c r="N337" s="252"/>
    </row>
    <row r="338" spans="1:14" ht="15.6" x14ac:dyDescent="0.6">
      <c r="A338" s="252"/>
      <c r="B338" s="66" t="s">
        <v>18</v>
      </c>
      <c r="C338" s="259"/>
      <c r="D338" s="259"/>
      <c r="E338" s="259"/>
      <c r="F338" s="259"/>
      <c r="G338" s="259"/>
      <c r="H338" s="259"/>
      <c r="I338" s="198" t="s">
        <v>48</v>
      </c>
      <c r="J338" s="198" t="s">
        <v>49</v>
      </c>
      <c r="K338" s="198" t="s">
        <v>50</v>
      </c>
      <c r="L338" s="252"/>
      <c r="M338" s="252"/>
      <c r="N338" s="252"/>
    </row>
    <row r="339" spans="1:14" ht="15.6" x14ac:dyDescent="0.6">
      <c r="A339" s="252"/>
      <c r="B339" s="260" t="s">
        <v>4</v>
      </c>
      <c r="C339" s="259"/>
      <c r="D339" s="261">
        <f>$D$11</f>
        <v>6000</v>
      </c>
      <c r="E339" s="288" t="s">
        <v>212</v>
      </c>
      <c r="F339" s="325">
        <f>K51</f>
        <v>6.2964000000000002</v>
      </c>
      <c r="G339" s="263">
        <f>L51</f>
        <v>9.0224999999999991</v>
      </c>
      <c r="H339" s="264" t="s">
        <v>47</v>
      </c>
      <c r="I339" s="265">
        <f>CEILING(D339*F339*G339,10)</f>
        <v>340860</v>
      </c>
      <c r="J339" s="179">
        <f>I339/$D$5</f>
        <v>56.81</v>
      </c>
      <c r="K339" s="266">
        <f>I339/$D$4</f>
        <v>340.86</v>
      </c>
      <c r="L339" s="252"/>
      <c r="M339" s="252"/>
      <c r="N339" s="252"/>
    </row>
    <row r="340" spans="1:14" ht="15.6" x14ac:dyDescent="0.6">
      <c r="A340" s="252"/>
      <c r="B340" s="260"/>
      <c r="C340" s="259"/>
      <c r="D340" s="261"/>
      <c r="E340" s="314" t="s">
        <v>214</v>
      </c>
      <c r="F340" s="289"/>
      <c r="G340" s="263"/>
      <c r="H340" s="264"/>
      <c r="I340" s="265"/>
      <c r="J340" s="179"/>
      <c r="K340" s="266"/>
      <c r="L340" s="252"/>
      <c r="M340" s="252"/>
      <c r="N340" s="252"/>
    </row>
    <row r="341" spans="1:14" ht="15.6" x14ac:dyDescent="0.6">
      <c r="A341" s="252"/>
      <c r="B341" s="260" t="s">
        <v>22</v>
      </c>
      <c r="C341" s="259"/>
      <c r="D341" s="261"/>
      <c r="E341" s="327" t="s">
        <v>225</v>
      </c>
      <c r="F341" s="259"/>
      <c r="G341" s="259"/>
      <c r="H341" s="259"/>
      <c r="I341" s="265"/>
      <c r="J341" s="265"/>
      <c r="K341" s="265"/>
      <c r="L341" s="252"/>
      <c r="M341" s="252"/>
      <c r="N341" s="252"/>
    </row>
    <row r="342" spans="1:14" ht="15.6" x14ac:dyDescent="0.6">
      <c r="A342" s="252"/>
      <c r="B342" s="66"/>
      <c r="C342" s="267" t="s">
        <v>19</v>
      </c>
      <c r="D342" s="261">
        <f>D$17+D$11*'Step 3'!E147</f>
        <v>912</v>
      </c>
      <c r="E342" s="328">
        <f>-(D$17-D342)/D$17</f>
        <v>1.3333333333333334E-2</v>
      </c>
      <c r="F342" s="346">
        <f>G51</f>
        <v>39.6</v>
      </c>
      <c r="G342" s="259" t="s">
        <v>55</v>
      </c>
      <c r="H342" s="252"/>
      <c r="I342" s="265">
        <f>CEILING(D342*F342,10)</f>
        <v>36120</v>
      </c>
      <c r="J342" s="179">
        <f t="shared" ref="J342:J343" si="77">I342/$D$5</f>
        <v>6.02</v>
      </c>
      <c r="K342" s="266">
        <f t="shared" ref="K342:K343" si="78">I342/$D$4</f>
        <v>36.119999999999997</v>
      </c>
      <c r="L342" s="252"/>
      <c r="M342" s="252"/>
      <c r="N342" s="252"/>
    </row>
    <row r="343" spans="1:14" ht="15.6" x14ac:dyDescent="0.6">
      <c r="A343" s="252"/>
      <c r="B343" s="66"/>
      <c r="C343" s="267" t="s">
        <v>215</v>
      </c>
      <c r="D343" s="261">
        <f>D$18+D$12*'Step 3'!E147</f>
        <v>380</v>
      </c>
      <c r="E343" s="328">
        <f>-(D$18-D343)/D$18</f>
        <v>1.3333333333333334E-2</v>
      </c>
      <c r="F343" s="346">
        <f>H51</f>
        <v>39.6</v>
      </c>
      <c r="G343" s="259" t="s">
        <v>55</v>
      </c>
      <c r="H343" s="252"/>
      <c r="I343" s="265">
        <f>CEILING(D343*F343,10)</f>
        <v>15050</v>
      </c>
      <c r="J343" s="179">
        <f t="shared" si="77"/>
        <v>2.5083333333333333</v>
      </c>
      <c r="K343" s="266">
        <f t="shared" si="78"/>
        <v>15.05</v>
      </c>
      <c r="L343" s="252"/>
      <c r="M343" s="252"/>
      <c r="N343" s="252"/>
    </row>
    <row r="344" spans="1:14" ht="15.6" x14ac:dyDescent="0.6">
      <c r="A344" s="252"/>
      <c r="B344" s="66"/>
      <c r="C344" s="267" t="s">
        <v>20</v>
      </c>
      <c r="D344" s="261"/>
      <c r="E344" s="326"/>
      <c r="F344" s="326"/>
      <c r="G344" s="326"/>
      <c r="H344" s="326"/>
      <c r="I344" s="127"/>
      <c r="J344" s="127"/>
      <c r="K344" s="127"/>
      <c r="L344" s="252"/>
      <c r="M344" s="252"/>
      <c r="N344" s="252"/>
    </row>
    <row r="345" spans="1:14" ht="15.6" x14ac:dyDescent="0.6">
      <c r="A345" s="252"/>
      <c r="B345" s="66"/>
      <c r="C345" s="273" t="s">
        <v>216</v>
      </c>
      <c r="D345" s="261">
        <f>D$59*D51</f>
        <v>5346</v>
      </c>
      <c r="E345" s="326"/>
      <c r="F345" s="269"/>
      <c r="G345" s="259"/>
      <c r="H345" s="252"/>
      <c r="I345" s="265"/>
      <c r="J345" s="179"/>
      <c r="K345" s="266"/>
      <c r="L345" s="252"/>
      <c r="M345" s="252"/>
      <c r="N345" s="252"/>
    </row>
    <row r="346" spans="1:14" ht="15.6" x14ac:dyDescent="0.6">
      <c r="A346" s="252"/>
      <c r="B346" s="66"/>
      <c r="C346" s="273" t="s">
        <v>98</v>
      </c>
      <c r="D346" s="261">
        <f>-D$11*E51</f>
        <v>-301.5</v>
      </c>
      <c r="E346" s="326"/>
      <c r="F346" s="269"/>
      <c r="G346" s="259"/>
      <c r="H346" s="252"/>
      <c r="I346" s="265"/>
      <c r="J346" s="179"/>
      <c r="K346" s="266"/>
      <c r="L346" s="252"/>
      <c r="M346" s="252"/>
      <c r="N346" s="252"/>
    </row>
    <row r="347" spans="1:14" ht="15.6" x14ac:dyDescent="0.6">
      <c r="A347" s="252"/>
      <c r="B347" s="66"/>
      <c r="C347" s="273" t="s">
        <v>222</v>
      </c>
      <c r="D347" s="261">
        <f>-D342</f>
        <v>-912</v>
      </c>
      <c r="E347" s="326"/>
      <c r="F347" s="269"/>
      <c r="G347" s="259"/>
      <c r="H347" s="252"/>
      <c r="I347" s="265"/>
      <c r="J347" s="179"/>
      <c r="K347" s="266"/>
      <c r="L347" s="252"/>
      <c r="M347" s="252"/>
      <c r="N347" s="252"/>
    </row>
    <row r="348" spans="1:14" ht="15.6" x14ac:dyDescent="0.6">
      <c r="A348" s="252"/>
      <c r="B348" s="66"/>
      <c r="C348" s="273" t="s">
        <v>210</v>
      </c>
      <c r="D348" s="261">
        <f>-D$12*F51</f>
        <v>-50.250000000000007</v>
      </c>
      <c r="E348" s="326"/>
      <c r="F348" s="269"/>
      <c r="G348" s="259"/>
      <c r="H348" s="252"/>
      <c r="I348" s="265"/>
      <c r="J348" s="179"/>
      <c r="K348" s="266"/>
      <c r="L348" s="252"/>
      <c r="M348" s="252"/>
      <c r="N348" s="252"/>
    </row>
    <row r="349" spans="1:14" ht="15.6" x14ac:dyDescent="0.6">
      <c r="A349" s="252"/>
      <c r="B349" s="66"/>
      <c r="C349" s="273" t="s">
        <v>217</v>
      </c>
      <c r="D349" s="285">
        <f>-D343</f>
        <v>-380</v>
      </c>
      <c r="E349" s="326"/>
      <c r="F349" s="269"/>
      <c r="G349" s="259"/>
      <c r="H349" s="252"/>
      <c r="I349" s="265"/>
      <c r="J349" s="179"/>
      <c r="K349" s="266"/>
      <c r="L349" s="252"/>
      <c r="M349" s="252"/>
      <c r="N349" s="252"/>
    </row>
    <row r="350" spans="1:14" ht="15.6" x14ac:dyDescent="0.6">
      <c r="A350" s="252"/>
      <c r="B350" s="66"/>
      <c r="C350" s="267"/>
      <c r="D350" s="261">
        <f>SUM(D345:D349)</f>
        <v>3702.25</v>
      </c>
      <c r="E350" s="329">
        <f>-(D$19-D350)/D$19</f>
        <v>-1.9271523178807946E-2</v>
      </c>
      <c r="F350" s="263">
        <f>I51</f>
        <v>59.4</v>
      </c>
      <c r="G350" s="259" t="s">
        <v>55</v>
      </c>
      <c r="H350" s="252"/>
      <c r="I350" s="265">
        <f>D350*F350</f>
        <v>219913.65</v>
      </c>
      <c r="J350" s="179">
        <f>I350/$D$5</f>
        <v>36.652274999999996</v>
      </c>
      <c r="K350" s="266">
        <f>I350/$D$4</f>
        <v>219.91364999999999</v>
      </c>
      <c r="L350" s="252"/>
      <c r="M350" s="252"/>
      <c r="N350" s="252"/>
    </row>
    <row r="351" spans="1:14" ht="15.6" x14ac:dyDescent="0.6">
      <c r="A351" s="252"/>
      <c r="B351" s="66"/>
      <c r="C351" s="267" t="s">
        <v>21</v>
      </c>
      <c r="D351" s="261">
        <f>D$25</f>
        <v>12</v>
      </c>
      <c r="E351" s="268" t="s">
        <v>57</v>
      </c>
      <c r="F351" s="263">
        <f>J51</f>
        <v>39.6</v>
      </c>
      <c r="G351" s="259" t="s">
        <v>55</v>
      </c>
      <c r="H351" s="252"/>
      <c r="I351" s="270">
        <f>CEILING(D351*F351,10)</f>
        <v>480</v>
      </c>
      <c r="J351" s="271">
        <f t="shared" ref="J351" si="79">I351/$D$5</f>
        <v>0.08</v>
      </c>
      <c r="K351" s="272">
        <f t="shared" ref="K351:K352" si="80">I351/$D$4</f>
        <v>0.48</v>
      </c>
      <c r="L351" s="252"/>
      <c r="M351" s="252"/>
      <c r="N351" s="252"/>
    </row>
    <row r="352" spans="1:14" ht="15.6" x14ac:dyDescent="0.6">
      <c r="A352" s="252"/>
      <c r="B352" s="66"/>
      <c r="C352" s="267"/>
      <c r="D352" s="267"/>
      <c r="E352" s="268"/>
      <c r="F352" s="268"/>
      <c r="G352" s="259"/>
      <c r="H352" s="259"/>
      <c r="I352" s="265">
        <f>SUM(I342:I351)</f>
        <v>271563.65000000002</v>
      </c>
      <c r="J352" s="179">
        <f>I352/$D$5</f>
        <v>45.260608333333337</v>
      </c>
      <c r="K352" s="266">
        <f t="shared" si="80"/>
        <v>271.56365</v>
      </c>
      <c r="L352" s="252"/>
      <c r="M352" s="252"/>
      <c r="N352" s="252"/>
    </row>
    <row r="353" spans="1:14" ht="15.6" x14ac:dyDescent="0.6">
      <c r="A353" s="252"/>
      <c r="B353" s="260" t="s">
        <v>28</v>
      </c>
      <c r="C353" s="273"/>
      <c r="D353" s="273"/>
      <c r="E353" s="268"/>
      <c r="F353" s="268"/>
      <c r="G353" s="259"/>
      <c r="H353" s="259"/>
      <c r="I353" s="265"/>
      <c r="J353" s="265"/>
      <c r="K353" s="265"/>
      <c r="L353" s="252"/>
      <c r="M353" s="252"/>
      <c r="N353" s="252"/>
    </row>
    <row r="354" spans="1:14" ht="15.6" x14ac:dyDescent="0.6">
      <c r="A354" s="252"/>
      <c r="B354" s="274"/>
      <c r="C354" s="267" t="s">
        <v>1</v>
      </c>
      <c r="D354" s="261" t="s">
        <v>99</v>
      </c>
      <c r="E354" s="268"/>
      <c r="F354" s="268"/>
      <c r="G354" s="259"/>
      <c r="H354" s="259"/>
      <c r="I354" s="266">
        <v>0</v>
      </c>
      <c r="J354" s="179">
        <f t="shared" ref="J354:J357" si="81">I354/$D$5</f>
        <v>0</v>
      </c>
      <c r="K354" s="266">
        <f t="shared" ref="K354:K357" si="82">I354/$D$4</f>
        <v>0</v>
      </c>
      <c r="L354" s="252"/>
      <c r="M354" s="252"/>
      <c r="N354" s="252"/>
    </row>
    <row r="355" spans="1:14" ht="15.6" x14ac:dyDescent="0.6">
      <c r="A355" s="252"/>
      <c r="B355" s="274"/>
      <c r="C355" s="267" t="s">
        <v>133</v>
      </c>
      <c r="D355" s="261" t="s">
        <v>134</v>
      </c>
      <c r="E355" s="268"/>
      <c r="F355" s="268"/>
      <c r="G355" s="259"/>
      <c r="H355" s="259"/>
      <c r="I355" s="266">
        <v>0</v>
      </c>
      <c r="J355" s="179">
        <f t="shared" si="81"/>
        <v>0</v>
      </c>
      <c r="K355" s="266">
        <f t="shared" si="82"/>
        <v>0</v>
      </c>
      <c r="L355" s="252"/>
      <c r="M355" s="252"/>
      <c r="N355" s="252"/>
    </row>
    <row r="356" spans="1:14" ht="15.6" x14ac:dyDescent="0.6">
      <c r="A356" s="252"/>
      <c r="B356" s="274"/>
      <c r="C356" s="267" t="s">
        <v>2</v>
      </c>
      <c r="D356" s="261">
        <f>D$25</f>
        <v>12</v>
      </c>
      <c r="E356" s="268" t="s">
        <v>57</v>
      </c>
      <c r="F356" s="269">
        <f>F$25</f>
        <v>800</v>
      </c>
      <c r="G356" s="259" t="s">
        <v>58</v>
      </c>
      <c r="H356" s="259"/>
      <c r="I356" s="272">
        <f>CEILING(-D356*F356,10)</f>
        <v>-9600</v>
      </c>
      <c r="J356" s="271">
        <f t="shared" si="81"/>
        <v>-1.6</v>
      </c>
      <c r="K356" s="272">
        <f t="shared" si="82"/>
        <v>-9.6</v>
      </c>
      <c r="L356" s="252"/>
      <c r="M356" s="252"/>
      <c r="N356" s="252"/>
    </row>
    <row r="357" spans="1:14" ht="15.6" x14ac:dyDescent="0.6">
      <c r="A357" s="252"/>
      <c r="B357" s="66"/>
      <c r="C357" s="273"/>
      <c r="D357" s="273"/>
      <c r="E357" s="273"/>
      <c r="F357" s="273"/>
      <c r="G357" s="273"/>
      <c r="H357" s="273"/>
      <c r="I357" s="266">
        <f>SUM(I354:I356)</f>
        <v>-9600</v>
      </c>
      <c r="J357" s="179">
        <f t="shared" si="81"/>
        <v>-1.6</v>
      </c>
      <c r="K357" s="266">
        <f t="shared" si="82"/>
        <v>-9.6</v>
      </c>
      <c r="L357" s="252"/>
      <c r="M357" s="252"/>
      <c r="N357" s="252"/>
    </row>
    <row r="358" spans="1:14" ht="15.6" x14ac:dyDescent="0.6">
      <c r="A358" s="252"/>
      <c r="B358" s="275" t="s">
        <v>0</v>
      </c>
      <c r="C358" s="257"/>
      <c r="D358" s="257"/>
      <c r="E358" s="257"/>
      <c r="F358" s="257"/>
      <c r="G358" s="257"/>
      <c r="H358" s="257"/>
      <c r="I358" s="276">
        <f>I339+I352+I357</f>
        <v>602823.65</v>
      </c>
      <c r="J358" s="277">
        <f>J339+J352+J357</f>
        <v>100.47060833333335</v>
      </c>
      <c r="K358" s="278">
        <f>K339+K352+K357</f>
        <v>602.82364999999993</v>
      </c>
      <c r="L358" s="252"/>
      <c r="M358" s="252"/>
      <c r="N358" s="252"/>
    </row>
    <row r="359" spans="1:14" ht="15.6" x14ac:dyDescent="0.6">
      <c r="A359" s="252"/>
      <c r="B359" s="66" t="s">
        <v>23</v>
      </c>
      <c r="C359" s="259"/>
      <c r="D359" s="259"/>
      <c r="E359" s="259"/>
      <c r="F359" s="259"/>
      <c r="G359" s="259"/>
      <c r="H359" s="259"/>
      <c r="I359" s="198" t="s">
        <v>48</v>
      </c>
      <c r="J359" s="198" t="s">
        <v>49</v>
      </c>
      <c r="K359" s="198" t="s">
        <v>50</v>
      </c>
      <c r="L359" s="252"/>
      <c r="M359" s="252"/>
      <c r="N359" s="252"/>
    </row>
    <row r="360" spans="1:14" ht="15.6" x14ac:dyDescent="0.6">
      <c r="A360" s="252"/>
      <c r="B360" s="260" t="s">
        <v>3</v>
      </c>
      <c r="C360" s="259"/>
      <c r="D360" s="259"/>
      <c r="E360" s="259"/>
      <c r="F360" s="259"/>
      <c r="G360" s="259"/>
      <c r="L360" s="252"/>
      <c r="M360" s="252"/>
      <c r="N360" s="252"/>
    </row>
    <row r="361" spans="1:14" ht="15.6" x14ac:dyDescent="0.6">
      <c r="A361" s="252"/>
      <c r="B361" s="260"/>
      <c r="C361" s="259" t="s">
        <v>224</v>
      </c>
      <c r="D361" s="261">
        <f>D$15</f>
        <v>10185</v>
      </c>
      <c r="E361" s="262" t="s">
        <v>57</v>
      </c>
      <c r="F361" s="263">
        <f>F$30</f>
        <v>3.5</v>
      </c>
      <c r="G361" s="264" t="s">
        <v>204</v>
      </c>
      <c r="H361" s="259"/>
      <c r="I361" s="265">
        <f>CEILING(D361*F361,10)</f>
        <v>35650</v>
      </c>
      <c r="J361" s="179">
        <f>I361/$D$5</f>
        <v>5.9416666666666664</v>
      </c>
      <c r="K361" s="266">
        <f>I361/$D$4</f>
        <v>35.65</v>
      </c>
      <c r="L361" s="252"/>
      <c r="M361" s="252"/>
      <c r="N361" s="252"/>
    </row>
    <row r="362" spans="1:14" ht="15.6" x14ac:dyDescent="0.6">
      <c r="A362" s="252"/>
      <c r="B362" s="260"/>
      <c r="C362" s="259" t="s">
        <v>135</v>
      </c>
      <c r="D362" s="261">
        <f>D345</f>
        <v>5346</v>
      </c>
      <c r="E362" s="262" t="s">
        <v>57</v>
      </c>
      <c r="F362" s="263">
        <f>F$31</f>
        <v>3.5</v>
      </c>
      <c r="G362" s="264" t="s">
        <v>204</v>
      </c>
      <c r="H362" s="259"/>
      <c r="I362" s="265">
        <f>CEILING(D362*F362,10)</f>
        <v>18720</v>
      </c>
      <c r="J362" s="179">
        <f>I362/$D$5</f>
        <v>3.12</v>
      </c>
      <c r="K362" s="266">
        <f>I362/$D$4</f>
        <v>18.72</v>
      </c>
      <c r="L362" s="252"/>
      <c r="M362" s="252"/>
      <c r="N362" s="252"/>
    </row>
    <row r="363" spans="1:14" ht="15.6" x14ac:dyDescent="0.6">
      <c r="A363" s="252"/>
      <c r="B363" s="260" t="s">
        <v>97</v>
      </c>
      <c r="C363" s="259"/>
      <c r="D363" s="261">
        <f>D361</f>
        <v>10185</v>
      </c>
      <c r="E363" s="262" t="s">
        <v>57</v>
      </c>
      <c r="F363" s="263">
        <f>I363/D363</f>
        <v>2.903289150711831</v>
      </c>
      <c r="G363" s="264" t="s">
        <v>204</v>
      </c>
      <c r="H363" s="259"/>
      <c r="I363" s="265">
        <f>'Step 3'!E94</f>
        <v>29570</v>
      </c>
      <c r="J363" s="179">
        <f t="shared" ref="J363:J367" si="83">I363/$D$5</f>
        <v>4.9283333333333337</v>
      </c>
      <c r="K363" s="266">
        <f t="shared" ref="K363:K367" si="84">I363/$D$4</f>
        <v>29.57</v>
      </c>
      <c r="L363" s="252"/>
      <c r="M363" s="252"/>
      <c r="N363" s="252"/>
    </row>
    <row r="364" spans="1:14" ht="15.6" x14ac:dyDescent="0.6">
      <c r="A364" s="252"/>
      <c r="B364" s="260" t="s">
        <v>24</v>
      </c>
      <c r="C364" s="259"/>
      <c r="D364" s="261">
        <f>D361</f>
        <v>10185</v>
      </c>
      <c r="E364" s="262" t="str">
        <f>E361</f>
        <v>hd @</v>
      </c>
      <c r="F364" s="263">
        <f>F$33</f>
        <v>6.5</v>
      </c>
      <c r="G364" s="264" t="s">
        <v>204</v>
      </c>
      <c r="H364" s="259"/>
      <c r="I364" s="265">
        <f>CEILING(D364*F364,10)</f>
        <v>66210</v>
      </c>
      <c r="J364" s="179">
        <f t="shared" si="83"/>
        <v>11.035</v>
      </c>
      <c r="K364" s="266">
        <f t="shared" si="84"/>
        <v>66.209999999999994</v>
      </c>
      <c r="L364" s="252"/>
      <c r="M364" s="252"/>
      <c r="N364" s="252"/>
    </row>
    <row r="365" spans="1:14" ht="15.6" x14ac:dyDescent="0.6">
      <c r="A365" s="252"/>
      <c r="B365" s="260" t="s">
        <v>25</v>
      </c>
      <c r="C365" s="259"/>
      <c r="D365" s="279">
        <f>D339*F339/170</f>
        <v>222.2258823529412</v>
      </c>
      <c r="E365" s="262" t="s">
        <v>59</v>
      </c>
      <c r="F365" s="263">
        <f>F$34</f>
        <v>20</v>
      </c>
      <c r="G365" s="264" t="s">
        <v>60</v>
      </c>
      <c r="H365" s="259"/>
      <c r="I365" s="265">
        <f>CEILING(D365*F365,10)</f>
        <v>4450</v>
      </c>
      <c r="J365" s="179">
        <f t="shared" si="83"/>
        <v>0.7416666666666667</v>
      </c>
      <c r="K365" s="266">
        <f t="shared" si="84"/>
        <v>4.45</v>
      </c>
      <c r="L365" s="252"/>
      <c r="M365" s="252"/>
      <c r="N365" s="252"/>
    </row>
    <row r="366" spans="1:14" ht="15.6" x14ac:dyDescent="0.6">
      <c r="A366" s="252"/>
      <c r="B366" s="260" t="s">
        <v>26</v>
      </c>
      <c r="C366" s="259"/>
      <c r="D366" s="259"/>
      <c r="E366" s="259"/>
      <c r="F366" s="263">
        <f>F$35</f>
        <v>15</v>
      </c>
      <c r="G366" s="264" t="s">
        <v>60</v>
      </c>
      <c r="H366" s="259"/>
      <c r="I366" s="265">
        <f>CEILING(D365*F366,10)</f>
        <v>3340</v>
      </c>
      <c r="J366" s="179">
        <f t="shared" si="83"/>
        <v>0.55666666666666664</v>
      </c>
      <c r="K366" s="266">
        <f t="shared" si="84"/>
        <v>3.34</v>
      </c>
      <c r="L366" s="252"/>
      <c r="M366" s="252"/>
      <c r="N366" s="252"/>
    </row>
    <row r="367" spans="1:14" ht="15.6" x14ac:dyDescent="0.6">
      <c r="A367" s="252"/>
      <c r="B367" s="260" t="s">
        <v>27</v>
      </c>
      <c r="C367" s="259"/>
      <c r="D367" s="261">
        <f>D342+D343+D350+D351+D356</f>
        <v>5018.25</v>
      </c>
      <c r="E367" s="268" t="s">
        <v>57</v>
      </c>
      <c r="F367" s="263">
        <f>F$36</f>
        <v>2</v>
      </c>
      <c r="G367" s="264" t="s">
        <v>61</v>
      </c>
      <c r="H367" s="259"/>
      <c r="I367" s="265">
        <f>CEILING(D367*F367,10)</f>
        <v>10040</v>
      </c>
      <c r="J367" s="179">
        <f t="shared" si="83"/>
        <v>1.6733333333333333</v>
      </c>
      <c r="K367" s="266">
        <f t="shared" si="84"/>
        <v>10.039999999999999</v>
      </c>
      <c r="L367" s="252"/>
      <c r="M367" s="252"/>
      <c r="N367" s="252"/>
    </row>
    <row r="368" spans="1:14" ht="15.6" x14ac:dyDescent="0.6">
      <c r="A368" s="252"/>
      <c r="B368" s="275" t="s">
        <v>41</v>
      </c>
      <c r="C368" s="257"/>
      <c r="D368" s="257"/>
      <c r="E368" s="280"/>
      <c r="F368" s="257"/>
      <c r="G368" s="257"/>
      <c r="H368" s="257"/>
      <c r="I368" s="276">
        <f>SUM(I361:I367)</f>
        <v>167980</v>
      </c>
      <c r="J368" s="277">
        <f>SUM(J361:J367)</f>
        <v>27.99666666666667</v>
      </c>
      <c r="K368" s="278">
        <f>SUM(K361:K367)</f>
        <v>167.97999999999996</v>
      </c>
      <c r="L368" s="252"/>
      <c r="M368" s="252"/>
      <c r="N368" s="252"/>
    </row>
    <row r="369" spans="1:14" ht="15.6" x14ac:dyDescent="0.6">
      <c r="A369" s="252"/>
      <c r="B369" s="281" t="s">
        <v>62</v>
      </c>
      <c r="C369" s="257"/>
      <c r="D369" s="257"/>
      <c r="E369" s="280"/>
      <c r="F369" s="257"/>
      <c r="G369" s="257"/>
      <c r="H369" s="257"/>
      <c r="I369" s="276">
        <f>I358-I368</f>
        <v>434843.65</v>
      </c>
      <c r="J369" s="277">
        <f>J358-J368</f>
        <v>72.473941666666676</v>
      </c>
      <c r="K369" s="278">
        <f>K358-K368</f>
        <v>434.84364999999997</v>
      </c>
      <c r="L369" s="252"/>
      <c r="M369" s="252"/>
      <c r="N369" s="252"/>
    </row>
    <row r="370" spans="1:14" ht="15.6" x14ac:dyDescent="0.6">
      <c r="A370" s="252"/>
      <c r="B370" s="282"/>
      <c r="C370" s="255"/>
      <c r="D370" s="255"/>
      <c r="E370" s="255"/>
      <c r="F370" s="255"/>
      <c r="G370" s="255"/>
      <c r="H370" s="255"/>
      <c r="I370" s="255"/>
      <c r="J370" s="255"/>
      <c r="K370" s="255"/>
      <c r="L370" s="252"/>
      <c r="M370" s="252"/>
      <c r="N370" s="252"/>
    </row>
    <row r="371" spans="1:14" ht="18.3" x14ac:dyDescent="0.7">
      <c r="A371" s="252"/>
      <c r="B371" s="253" t="s">
        <v>235</v>
      </c>
      <c r="C371" s="252"/>
      <c r="D371" s="252"/>
      <c r="E371" s="252"/>
      <c r="F371" s="252"/>
      <c r="G371" s="252"/>
      <c r="H371" s="252"/>
      <c r="I371" s="252"/>
      <c r="J371" s="252"/>
      <c r="K371" s="252"/>
      <c r="L371" s="252"/>
      <c r="M371" s="252"/>
      <c r="N371" s="252"/>
    </row>
    <row r="372" spans="1:14" ht="17.7" x14ac:dyDescent="0.6">
      <c r="A372" s="252"/>
      <c r="B372" s="256"/>
      <c r="C372" s="257"/>
      <c r="D372" s="257"/>
      <c r="E372" s="257"/>
      <c r="F372" s="257"/>
      <c r="G372" s="257"/>
      <c r="H372" s="257"/>
      <c r="I372" s="258" t="s">
        <v>46</v>
      </c>
      <c r="J372" s="258" t="s">
        <v>78</v>
      </c>
      <c r="K372" s="258" t="s">
        <v>87</v>
      </c>
      <c r="L372" s="252"/>
      <c r="M372" s="252"/>
      <c r="N372" s="252"/>
    </row>
    <row r="373" spans="1:14" ht="15.6" x14ac:dyDescent="0.6">
      <c r="A373" s="252"/>
      <c r="B373" s="66" t="s">
        <v>18</v>
      </c>
      <c r="C373" s="259"/>
      <c r="D373" s="259"/>
      <c r="E373" s="259"/>
      <c r="F373" s="259"/>
      <c r="G373" s="259"/>
      <c r="H373" s="259"/>
      <c r="I373" s="198" t="s">
        <v>48</v>
      </c>
      <c r="J373" s="198" t="s">
        <v>49</v>
      </c>
      <c r="K373" s="198" t="s">
        <v>50</v>
      </c>
      <c r="L373" s="252"/>
      <c r="M373" s="252"/>
      <c r="N373" s="252"/>
    </row>
    <row r="374" spans="1:14" ht="15.6" x14ac:dyDescent="0.6">
      <c r="A374" s="252"/>
      <c r="B374" s="260" t="s">
        <v>4</v>
      </c>
      <c r="C374" s="259"/>
      <c r="D374" s="261">
        <f>$D$11</f>
        <v>6000</v>
      </c>
      <c r="E374" s="288" t="s">
        <v>212</v>
      </c>
      <c r="F374" s="325">
        <f>K52</f>
        <v>6.2964000000000002</v>
      </c>
      <c r="G374" s="263">
        <f>L52</f>
        <v>9.0224999999999991</v>
      </c>
      <c r="H374" s="264" t="s">
        <v>47</v>
      </c>
      <c r="I374" s="265">
        <f>CEILING(D374*F374*G374,10)</f>
        <v>340860</v>
      </c>
      <c r="J374" s="179">
        <f>I374/$D$5</f>
        <v>56.81</v>
      </c>
      <c r="K374" s="266">
        <f>I374/$D$4</f>
        <v>340.86</v>
      </c>
      <c r="L374" s="252"/>
      <c r="M374" s="252"/>
      <c r="N374" s="252"/>
    </row>
    <row r="375" spans="1:14" ht="15.6" x14ac:dyDescent="0.6">
      <c r="A375" s="252"/>
      <c r="B375" s="260"/>
      <c r="C375" s="259"/>
      <c r="D375" s="261"/>
      <c r="E375" s="314" t="s">
        <v>214</v>
      </c>
      <c r="F375" s="289"/>
      <c r="G375" s="263"/>
      <c r="H375" s="264"/>
      <c r="I375" s="265"/>
      <c r="J375" s="179"/>
      <c r="K375" s="266"/>
      <c r="L375" s="252"/>
      <c r="M375" s="252"/>
      <c r="N375" s="252"/>
    </row>
    <row r="376" spans="1:14" ht="15.6" x14ac:dyDescent="0.6">
      <c r="A376" s="252"/>
      <c r="B376" s="260" t="s">
        <v>22</v>
      </c>
      <c r="C376" s="259"/>
      <c r="D376" s="261"/>
      <c r="E376" s="327" t="s">
        <v>225</v>
      </c>
      <c r="F376" s="259"/>
      <c r="G376" s="259"/>
      <c r="H376" s="259"/>
      <c r="I376" s="265"/>
      <c r="J376" s="265"/>
      <c r="K376" s="265"/>
      <c r="L376" s="252"/>
      <c r="M376" s="252"/>
      <c r="N376" s="252"/>
    </row>
    <row r="377" spans="1:14" ht="15.6" x14ac:dyDescent="0.6">
      <c r="A377" s="252"/>
      <c r="B377" s="66"/>
      <c r="C377" s="267" t="s">
        <v>19</v>
      </c>
      <c r="D377" s="261">
        <f>D$17+D$11*'Step 3'!E148</f>
        <v>912</v>
      </c>
      <c r="E377" s="328">
        <f>-(D$17-D377)/D$17</f>
        <v>1.3333333333333334E-2</v>
      </c>
      <c r="F377" s="346">
        <f>G52</f>
        <v>39.6</v>
      </c>
      <c r="G377" s="259" t="s">
        <v>55</v>
      </c>
      <c r="H377" s="252"/>
      <c r="I377" s="265">
        <f>CEILING(D377*F377,10)</f>
        <v>36120</v>
      </c>
      <c r="J377" s="179">
        <f t="shared" ref="J377:J378" si="85">I377/$D$5</f>
        <v>6.02</v>
      </c>
      <c r="K377" s="266">
        <f t="shared" ref="K377:K378" si="86">I377/$D$4</f>
        <v>36.119999999999997</v>
      </c>
      <c r="L377" s="252"/>
      <c r="M377" s="252"/>
      <c r="N377" s="252"/>
    </row>
    <row r="378" spans="1:14" ht="15.6" x14ac:dyDescent="0.6">
      <c r="A378" s="252"/>
      <c r="B378" s="66"/>
      <c r="C378" s="267" t="s">
        <v>215</v>
      </c>
      <c r="D378" s="261">
        <f>D$18+D$12*'Step 3'!E148</f>
        <v>380</v>
      </c>
      <c r="E378" s="328">
        <f>-(D$18-D378)/D$18</f>
        <v>1.3333333333333334E-2</v>
      </c>
      <c r="F378" s="346">
        <f>H52</f>
        <v>39.6</v>
      </c>
      <c r="G378" s="259" t="s">
        <v>55</v>
      </c>
      <c r="H378" s="252"/>
      <c r="I378" s="265">
        <f>CEILING(D378*F378,10)</f>
        <v>15050</v>
      </c>
      <c r="J378" s="179">
        <f t="shared" si="85"/>
        <v>2.5083333333333333</v>
      </c>
      <c r="K378" s="266">
        <f t="shared" si="86"/>
        <v>15.05</v>
      </c>
      <c r="L378" s="252"/>
      <c r="M378" s="252"/>
      <c r="N378" s="252"/>
    </row>
    <row r="379" spans="1:14" ht="15.6" x14ac:dyDescent="0.6">
      <c r="A379" s="252"/>
      <c r="B379" s="66"/>
      <c r="C379" s="267" t="s">
        <v>20</v>
      </c>
      <c r="D379" s="261"/>
      <c r="E379" s="326"/>
      <c r="F379" s="326"/>
      <c r="G379" s="326"/>
      <c r="I379" s="127"/>
      <c r="J379" s="127"/>
      <c r="K379" s="127"/>
      <c r="L379" s="252"/>
      <c r="M379" s="252"/>
      <c r="N379" s="252"/>
    </row>
    <row r="380" spans="1:14" ht="15.6" x14ac:dyDescent="0.6">
      <c r="A380" s="252"/>
      <c r="B380" s="66"/>
      <c r="C380" s="273" t="s">
        <v>216</v>
      </c>
      <c r="D380" s="261">
        <f>D$59*D52</f>
        <v>5346</v>
      </c>
      <c r="E380" s="326"/>
      <c r="F380" s="269"/>
      <c r="G380" s="259"/>
      <c r="H380" s="252"/>
      <c r="I380" s="265"/>
      <c r="J380" s="179"/>
      <c r="K380" s="266"/>
      <c r="L380" s="252"/>
      <c r="M380" s="252"/>
      <c r="N380" s="252"/>
    </row>
    <row r="381" spans="1:14" ht="15.6" x14ac:dyDescent="0.6">
      <c r="A381" s="252"/>
      <c r="B381" s="66"/>
      <c r="C381" s="273" t="s">
        <v>98</v>
      </c>
      <c r="D381" s="261">
        <f>-D$11*E52</f>
        <v>-301.5</v>
      </c>
      <c r="E381" s="326"/>
      <c r="F381" s="269"/>
      <c r="G381" s="259"/>
      <c r="H381" s="252"/>
      <c r="I381" s="265"/>
      <c r="J381" s="179"/>
      <c r="K381" s="266"/>
      <c r="L381" s="252"/>
      <c r="M381" s="252"/>
      <c r="N381" s="252"/>
    </row>
    <row r="382" spans="1:14" ht="15.6" x14ac:dyDescent="0.6">
      <c r="A382" s="252"/>
      <c r="B382" s="66"/>
      <c r="C382" s="273" t="s">
        <v>222</v>
      </c>
      <c r="D382" s="261">
        <f>-D377</f>
        <v>-912</v>
      </c>
      <c r="E382" s="326"/>
      <c r="F382" s="269"/>
      <c r="G382" s="259"/>
      <c r="H382" s="252"/>
      <c r="I382" s="265"/>
      <c r="J382" s="179"/>
      <c r="K382" s="266"/>
      <c r="L382" s="252"/>
      <c r="M382" s="252"/>
      <c r="N382" s="252"/>
    </row>
    <row r="383" spans="1:14" ht="15.6" x14ac:dyDescent="0.6">
      <c r="A383" s="252"/>
      <c r="B383" s="66"/>
      <c r="C383" s="273" t="s">
        <v>210</v>
      </c>
      <c r="D383" s="261">
        <f>-D$12*F52</f>
        <v>-50.250000000000007</v>
      </c>
      <c r="E383" s="326"/>
      <c r="F383" s="269"/>
      <c r="G383" s="259"/>
      <c r="H383" s="252"/>
      <c r="I383" s="265"/>
      <c r="J383" s="179"/>
      <c r="K383" s="266"/>
      <c r="L383" s="252"/>
      <c r="M383" s="252"/>
      <c r="N383" s="252"/>
    </row>
    <row r="384" spans="1:14" ht="15.6" x14ac:dyDescent="0.6">
      <c r="A384" s="252"/>
      <c r="B384" s="66"/>
      <c r="C384" s="273" t="s">
        <v>217</v>
      </c>
      <c r="D384" s="285">
        <f>-D378</f>
        <v>-380</v>
      </c>
      <c r="E384" s="326"/>
      <c r="F384" s="269"/>
      <c r="G384" s="259"/>
      <c r="H384" s="252"/>
      <c r="I384" s="265"/>
      <c r="J384" s="179"/>
      <c r="K384" s="266"/>
      <c r="L384" s="252"/>
      <c r="M384" s="252"/>
      <c r="N384" s="252"/>
    </row>
    <row r="385" spans="1:14" ht="15.6" x14ac:dyDescent="0.6">
      <c r="A385" s="252"/>
      <c r="B385" s="66"/>
      <c r="C385" s="267"/>
      <c r="D385" s="261">
        <f>SUM(D380:D384)</f>
        <v>3702.25</v>
      </c>
      <c r="E385" s="329">
        <f>-(D$19-D385)/D$19</f>
        <v>-1.9271523178807946E-2</v>
      </c>
      <c r="F385" s="263">
        <f>I52</f>
        <v>59.4</v>
      </c>
      <c r="G385" s="259" t="s">
        <v>55</v>
      </c>
      <c r="H385" s="252"/>
      <c r="I385" s="265">
        <f>D385*F385</f>
        <v>219913.65</v>
      </c>
      <c r="J385" s="179">
        <f>I385/$D$5</f>
        <v>36.652274999999996</v>
      </c>
      <c r="K385" s="266">
        <f>I385/$D$4</f>
        <v>219.91364999999999</v>
      </c>
      <c r="L385" s="252"/>
      <c r="M385" s="252"/>
      <c r="N385" s="252"/>
    </row>
    <row r="386" spans="1:14" ht="15.6" x14ac:dyDescent="0.6">
      <c r="A386" s="252"/>
      <c r="B386" s="66"/>
      <c r="C386" s="267" t="s">
        <v>21</v>
      </c>
      <c r="D386" s="261">
        <f>D$25</f>
        <v>12</v>
      </c>
      <c r="E386" s="268" t="s">
        <v>57</v>
      </c>
      <c r="F386" s="263">
        <f>J52</f>
        <v>39.6</v>
      </c>
      <c r="G386" s="259" t="s">
        <v>55</v>
      </c>
      <c r="H386" s="252"/>
      <c r="I386" s="270">
        <f>CEILING(D386*F386,10)</f>
        <v>480</v>
      </c>
      <c r="J386" s="271">
        <f t="shared" ref="J386" si="87">I386/$D$5</f>
        <v>0.08</v>
      </c>
      <c r="K386" s="272">
        <f t="shared" ref="K386:K387" si="88">I386/$D$4</f>
        <v>0.48</v>
      </c>
      <c r="L386" s="252"/>
      <c r="M386" s="252"/>
      <c r="N386" s="252"/>
    </row>
    <row r="387" spans="1:14" ht="15.6" x14ac:dyDescent="0.6">
      <c r="A387" s="252"/>
      <c r="B387" s="66"/>
      <c r="C387" s="267"/>
      <c r="D387" s="267"/>
      <c r="E387" s="268"/>
      <c r="F387" s="268"/>
      <c r="G387" s="259"/>
      <c r="H387" s="259"/>
      <c r="I387" s="265">
        <f>SUM(I377:I386)</f>
        <v>271563.65000000002</v>
      </c>
      <c r="J387" s="179">
        <f>I387/$D$5</f>
        <v>45.260608333333337</v>
      </c>
      <c r="K387" s="266">
        <f t="shared" si="88"/>
        <v>271.56365</v>
      </c>
      <c r="L387" s="252"/>
      <c r="M387" s="252"/>
      <c r="N387" s="252"/>
    </row>
    <row r="388" spans="1:14" ht="15.6" x14ac:dyDescent="0.6">
      <c r="A388" s="252"/>
      <c r="B388" s="260" t="s">
        <v>28</v>
      </c>
      <c r="C388" s="273"/>
      <c r="D388" s="273"/>
      <c r="E388" s="268"/>
      <c r="F388" s="268"/>
      <c r="G388" s="259"/>
      <c r="H388" s="259"/>
      <c r="I388" s="265"/>
      <c r="J388" s="265"/>
      <c r="K388" s="265"/>
      <c r="L388" s="252"/>
      <c r="M388" s="252"/>
      <c r="N388" s="252"/>
    </row>
    <row r="389" spans="1:14" ht="15.6" x14ac:dyDescent="0.6">
      <c r="A389" s="252"/>
      <c r="B389" s="274"/>
      <c r="C389" s="267" t="s">
        <v>1</v>
      </c>
      <c r="D389" s="261" t="s">
        <v>99</v>
      </c>
      <c r="E389" s="268"/>
      <c r="F389" s="268"/>
      <c r="G389" s="259"/>
      <c r="H389" s="259"/>
      <c r="I389" s="266">
        <v>0</v>
      </c>
      <c r="J389" s="179">
        <f t="shared" ref="J389:J392" si="89">I389/$D$5</f>
        <v>0</v>
      </c>
      <c r="K389" s="266">
        <f t="shared" ref="K389:K392" si="90">I389/$D$4</f>
        <v>0</v>
      </c>
      <c r="L389" s="252"/>
      <c r="M389" s="252"/>
      <c r="N389" s="252"/>
    </row>
    <row r="390" spans="1:14" ht="15.6" x14ac:dyDescent="0.6">
      <c r="A390" s="252"/>
      <c r="B390" s="274"/>
      <c r="C390" s="267" t="s">
        <v>133</v>
      </c>
      <c r="D390" s="261" t="s">
        <v>134</v>
      </c>
      <c r="E390" s="268"/>
      <c r="F390" s="268"/>
      <c r="G390" s="259"/>
      <c r="H390" s="259"/>
      <c r="I390" s="266">
        <v>0</v>
      </c>
      <c r="J390" s="179">
        <f t="shared" si="89"/>
        <v>0</v>
      </c>
      <c r="K390" s="266">
        <f t="shared" si="90"/>
        <v>0</v>
      </c>
      <c r="L390" s="252"/>
      <c r="M390" s="252"/>
      <c r="N390" s="252"/>
    </row>
    <row r="391" spans="1:14" ht="15.6" x14ac:dyDescent="0.6">
      <c r="A391" s="252"/>
      <c r="B391" s="274"/>
      <c r="C391" s="267" t="s">
        <v>2</v>
      </c>
      <c r="D391" s="261">
        <f>D$25</f>
        <v>12</v>
      </c>
      <c r="E391" s="268" t="s">
        <v>57</v>
      </c>
      <c r="F391" s="269">
        <f>F$25</f>
        <v>800</v>
      </c>
      <c r="G391" s="259" t="s">
        <v>58</v>
      </c>
      <c r="H391" s="259"/>
      <c r="I391" s="272">
        <f>CEILING(-D391*F391,10)</f>
        <v>-9600</v>
      </c>
      <c r="J391" s="271">
        <f t="shared" si="89"/>
        <v>-1.6</v>
      </c>
      <c r="K391" s="272">
        <f t="shared" si="90"/>
        <v>-9.6</v>
      </c>
      <c r="L391" s="252"/>
      <c r="M391" s="252"/>
      <c r="N391" s="252"/>
    </row>
    <row r="392" spans="1:14" ht="15.6" x14ac:dyDescent="0.6">
      <c r="A392" s="252"/>
      <c r="B392" s="66"/>
      <c r="C392" s="273"/>
      <c r="D392" s="273"/>
      <c r="E392" s="273"/>
      <c r="F392" s="273"/>
      <c r="G392" s="273"/>
      <c r="H392" s="273"/>
      <c r="I392" s="266">
        <f>SUM(I389:I391)</f>
        <v>-9600</v>
      </c>
      <c r="J392" s="179">
        <f t="shared" si="89"/>
        <v>-1.6</v>
      </c>
      <c r="K392" s="266">
        <f t="shared" si="90"/>
        <v>-9.6</v>
      </c>
      <c r="L392" s="252"/>
      <c r="M392" s="252"/>
      <c r="N392" s="252"/>
    </row>
    <row r="393" spans="1:14" ht="15.6" x14ac:dyDescent="0.6">
      <c r="A393" s="252"/>
      <c r="B393" s="275" t="s">
        <v>0</v>
      </c>
      <c r="C393" s="257"/>
      <c r="D393" s="257"/>
      <c r="E393" s="257"/>
      <c r="F393" s="257"/>
      <c r="G393" s="257"/>
      <c r="H393" s="257"/>
      <c r="I393" s="276">
        <f>I374+I387+I392</f>
        <v>602823.65</v>
      </c>
      <c r="J393" s="277">
        <f>J374+J387+J392</f>
        <v>100.47060833333335</v>
      </c>
      <c r="K393" s="278">
        <f>K374+K387+K392</f>
        <v>602.82364999999993</v>
      </c>
      <c r="L393" s="252"/>
      <c r="M393" s="252"/>
      <c r="N393" s="252"/>
    </row>
    <row r="394" spans="1:14" ht="15.6" x14ac:dyDescent="0.6">
      <c r="A394" s="252"/>
      <c r="B394" s="66" t="s">
        <v>23</v>
      </c>
      <c r="C394" s="259"/>
      <c r="D394" s="259"/>
      <c r="E394" s="259"/>
      <c r="F394" s="259"/>
      <c r="G394" s="259"/>
      <c r="H394" s="259"/>
      <c r="I394" s="198" t="s">
        <v>48</v>
      </c>
      <c r="J394" s="198" t="s">
        <v>49</v>
      </c>
      <c r="K394" s="198" t="s">
        <v>50</v>
      </c>
      <c r="L394" s="252"/>
      <c r="M394" s="252"/>
      <c r="N394" s="252"/>
    </row>
    <row r="395" spans="1:14" ht="15.6" x14ac:dyDescent="0.6">
      <c r="A395" s="252"/>
      <c r="B395" s="260" t="s">
        <v>3</v>
      </c>
      <c r="C395" s="259"/>
      <c r="D395" s="259"/>
      <c r="E395" s="259"/>
      <c r="F395" s="259"/>
      <c r="G395" s="259"/>
      <c r="L395" s="252"/>
      <c r="M395" s="252"/>
      <c r="N395" s="252"/>
    </row>
    <row r="396" spans="1:14" ht="15.6" x14ac:dyDescent="0.6">
      <c r="A396" s="252"/>
      <c r="B396" s="260"/>
      <c r="C396" s="259" t="s">
        <v>224</v>
      </c>
      <c r="D396" s="261">
        <f>D$15</f>
        <v>10185</v>
      </c>
      <c r="E396" s="262" t="s">
        <v>57</v>
      </c>
      <c r="F396" s="263">
        <f>F$30</f>
        <v>3.5</v>
      </c>
      <c r="G396" s="264" t="s">
        <v>204</v>
      </c>
      <c r="H396" s="259"/>
      <c r="I396" s="265">
        <f>CEILING(D396*F396,10)</f>
        <v>35650</v>
      </c>
      <c r="J396" s="179">
        <f>I396/$D$5</f>
        <v>5.9416666666666664</v>
      </c>
      <c r="K396" s="266">
        <f>I396/$D$4</f>
        <v>35.65</v>
      </c>
      <c r="L396" s="252"/>
      <c r="M396" s="252"/>
      <c r="N396" s="252"/>
    </row>
    <row r="397" spans="1:14" ht="15.6" x14ac:dyDescent="0.6">
      <c r="A397" s="252"/>
      <c r="B397" s="260"/>
      <c r="C397" s="259" t="s">
        <v>135</v>
      </c>
      <c r="D397" s="261">
        <f>D380</f>
        <v>5346</v>
      </c>
      <c r="E397" s="262" t="s">
        <v>57</v>
      </c>
      <c r="F397" s="263">
        <f>F$31</f>
        <v>3.5</v>
      </c>
      <c r="G397" s="264" t="s">
        <v>204</v>
      </c>
      <c r="H397" s="259"/>
      <c r="I397" s="265">
        <f>CEILING(D397*F397,10)</f>
        <v>18720</v>
      </c>
      <c r="J397" s="179">
        <f>I397/$D$5</f>
        <v>3.12</v>
      </c>
      <c r="K397" s="266">
        <f>I397/$D$4</f>
        <v>18.72</v>
      </c>
      <c r="L397" s="252"/>
      <c r="M397" s="252"/>
      <c r="N397" s="252"/>
    </row>
    <row r="398" spans="1:14" ht="15.6" x14ac:dyDescent="0.6">
      <c r="A398" s="252"/>
      <c r="B398" s="260" t="s">
        <v>97</v>
      </c>
      <c r="C398" s="259"/>
      <c r="D398" s="261">
        <f>D396</f>
        <v>10185</v>
      </c>
      <c r="E398" s="262" t="s">
        <v>57</v>
      </c>
      <c r="F398" s="263">
        <f>I398/D398</f>
        <v>2.903289150711831</v>
      </c>
      <c r="G398" s="264" t="s">
        <v>204</v>
      </c>
      <c r="H398" s="259"/>
      <c r="I398" s="265">
        <f>'Step 3'!E95</f>
        <v>29570</v>
      </c>
      <c r="J398" s="179">
        <f t="shared" ref="J398:J402" si="91">I398/$D$5</f>
        <v>4.9283333333333337</v>
      </c>
      <c r="K398" s="266">
        <f t="shared" ref="K398:K402" si="92">I398/$D$4</f>
        <v>29.57</v>
      </c>
      <c r="L398" s="252"/>
      <c r="M398" s="252"/>
      <c r="N398" s="252"/>
    </row>
    <row r="399" spans="1:14" ht="15.6" x14ac:dyDescent="0.6">
      <c r="B399" s="260" t="s">
        <v>24</v>
      </c>
      <c r="C399" s="259"/>
      <c r="D399" s="261">
        <f>D396</f>
        <v>10185</v>
      </c>
      <c r="E399" s="262" t="str">
        <f>E396</f>
        <v>hd @</v>
      </c>
      <c r="F399" s="263">
        <f>F$33</f>
        <v>6.5</v>
      </c>
      <c r="G399" s="264" t="s">
        <v>204</v>
      </c>
      <c r="H399" s="259"/>
      <c r="I399" s="265">
        <f>CEILING(D399*F399,10)</f>
        <v>66210</v>
      </c>
      <c r="J399" s="179">
        <f t="shared" si="91"/>
        <v>11.035</v>
      </c>
      <c r="K399" s="266">
        <f t="shared" si="92"/>
        <v>66.209999999999994</v>
      </c>
    </row>
    <row r="400" spans="1:14" ht="15.6" x14ac:dyDescent="0.6">
      <c r="B400" s="260" t="s">
        <v>25</v>
      </c>
      <c r="C400" s="259"/>
      <c r="D400" s="279">
        <f>D374*F374/170</f>
        <v>222.2258823529412</v>
      </c>
      <c r="E400" s="262" t="s">
        <v>59</v>
      </c>
      <c r="F400" s="263">
        <f>F$34</f>
        <v>20</v>
      </c>
      <c r="G400" s="264" t="s">
        <v>60</v>
      </c>
      <c r="H400" s="259"/>
      <c r="I400" s="265">
        <f>CEILING(D400*F400,10)</f>
        <v>4450</v>
      </c>
      <c r="J400" s="179">
        <f t="shared" si="91"/>
        <v>0.7416666666666667</v>
      </c>
      <c r="K400" s="266">
        <f t="shared" si="92"/>
        <v>4.45</v>
      </c>
    </row>
    <row r="401" spans="2:11" ht="15.6" x14ac:dyDescent="0.6">
      <c r="B401" s="260" t="s">
        <v>26</v>
      </c>
      <c r="C401" s="259"/>
      <c r="D401" s="259"/>
      <c r="E401" s="259"/>
      <c r="F401" s="263">
        <f>F$35</f>
        <v>15</v>
      </c>
      <c r="G401" s="264" t="s">
        <v>60</v>
      </c>
      <c r="H401" s="259"/>
      <c r="I401" s="265">
        <f>CEILING(D400*F401,10)</f>
        <v>3340</v>
      </c>
      <c r="J401" s="179">
        <f t="shared" si="91"/>
        <v>0.55666666666666664</v>
      </c>
      <c r="K401" s="266">
        <f t="shared" si="92"/>
        <v>3.34</v>
      </c>
    </row>
    <row r="402" spans="2:11" ht="15.6" x14ac:dyDescent="0.6">
      <c r="B402" s="260" t="s">
        <v>27</v>
      </c>
      <c r="C402" s="259"/>
      <c r="D402" s="261">
        <f>D377+D378+D385+D386+D391</f>
        <v>5018.25</v>
      </c>
      <c r="E402" s="268" t="s">
        <v>57</v>
      </c>
      <c r="F402" s="263">
        <f>F$36</f>
        <v>2</v>
      </c>
      <c r="G402" s="264" t="s">
        <v>61</v>
      </c>
      <c r="H402" s="259"/>
      <c r="I402" s="265">
        <f>CEILING(D402*F402,10)</f>
        <v>10040</v>
      </c>
      <c r="J402" s="179">
        <f t="shared" si="91"/>
        <v>1.6733333333333333</v>
      </c>
      <c r="K402" s="266">
        <f t="shared" si="92"/>
        <v>10.039999999999999</v>
      </c>
    </row>
    <row r="403" spans="2:11" ht="15.6" x14ac:dyDescent="0.6">
      <c r="B403" s="275" t="s">
        <v>41</v>
      </c>
      <c r="C403" s="257"/>
      <c r="D403" s="257"/>
      <c r="E403" s="280"/>
      <c r="F403" s="257"/>
      <c r="G403" s="257"/>
      <c r="H403" s="257"/>
      <c r="I403" s="276">
        <f>SUM(I396:I402)</f>
        <v>167980</v>
      </c>
      <c r="J403" s="277">
        <f>SUM(J396:J402)</f>
        <v>27.99666666666667</v>
      </c>
      <c r="K403" s="278">
        <f>SUM(K396:K402)</f>
        <v>167.97999999999996</v>
      </c>
    </row>
    <row r="404" spans="2:11" ht="15.6" x14ac:dyDescent="0.6">
      <c r="B404" s="281" t="s">
        <v>62</v>
      </c>
      <c r="C404" s="257"/>
      <c r="D404" s="257"/>
      <c r="E404" s="280"/>
      <c r="F404" s="257"/>
      <c r="G404" s="257"/>
      <c r="H404" s="257"/>
      <c r="I404" s="276">
        <f>I393-I403</f>
        <v>434843.65</v>
      </c>
      <c r="J404" s="277">
        <f>J393-J403</f>
        <v>72.473941666666676</v>
      </c>
      <c r="K404" s="278">
        <f>K393-K403</f>
        <v>434.84364999999997</v>
      </c>
    </row>
    <row r="405" spans="2:11" ht="15.6" x14ac:dyDescent="0.6">
      <c r="B405" s="282"/>
      <c r="C405" s="255"/>
      <c r="D405" s="255"/>
      <c r="E405" s="255"/>
      <c r="F405" s="255"/>
      <c r="G405" s="255"/>
      <c r="H405" s="255"/>
      <c r="I405" s="255"/>
      <c r="J405" s="255"/>
      <c r="K405" s="255"/>
    </row>
  </sheetData>
  <pageMargins left="0.7" right="0.7" top="0.75" bottom="0.75" header="0.3" footer="0.3"/>
  <ignoredErrors>
    <ignoredError sqref="I8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5"/>
  <sheetViews>
    <sheetView workbookViewId="0">
      <selection activeCell="I223" sqref="I223"/>
    </sheetView>
  </sheetViews>
  <sheetFormatPr defaultRowHeight="12.6" x14ac:dyDescent="0.45"/>
  <cols>
    <col min="1" max="1" width="2.17578125" customWidth="1"/>
    <col min="2" max="2" width="8.29296875" customWidth="1"/>
    <col min="3" max="3" width="23.46875" customWidth="1"/>
    <col min="4" max="4" width="10.703125" customWidth="1"/>
    <col min="5" max="5" width="12.17578125" customWidth="1"/>
    <col min="6" max="6" width="14.8203125" customWidth="1"/>
    <col min="7" max="7" width="11.703125" customWidth="1"/>
    <col min="8" max="8" width="11.29296875" customWidth="1"/>
    <col min="9" max="9" width="11.703125" customWidth="1"/>
    <col min="10" max="10" width="10.703125" customWidth="1"/>
    <col min="11" max="11" width="11.29296875" customWidth="1"/>
    <col min="12" max="12" width="9.703125" customWidth="1"/>
    <col min="13" max="13" width="11.29296875" customWidth="1"/>
    <col min="14" max="14" width="23.703125" customWidth="1"/>
    <col min="15" max="15" width="7.703125" customWidth="1"/>
    <col min="16" max="16" width="9.46875" customWidth="1"/>
    <col min="17" max="17" width="13.703125" customWidth="1"/>
    <col min="18" max="18" width="11.703125" customWidth="1"/>
    <col min="19" max="19" width="8.703125" customWidth="1"/>
    <col min="20" max="20" width="11.703125" customWidth="1"/>
    <col min="21" max="21" width="10.703125" customWidth="1"/>
    <col min="22" max="22" width="11.29296875" customWidth="1"/>
  </cols>
  <sheetData>
    <row r="1" spans="1:14" ht="20.399999999999999" x14ac:dyDescent="0.75">
      <c r="A1" s="354" t="s">
        <v>252</v>
      </c>
      <c r="B1" s="355"/>
      <c r="C1" s="355"/>
      <c r="D1" s="355"/>
      <c r="E1" s="355"/>
      <c r="F1" s="355"/>
      <c r="G1" s="355"/>
      <c r="H1" s="252"/>
      <c r="I1" s="252"/>
      <c r="J1" s="252"/>
      <c r="K1" s="252"/>
      <c r="L1" s="252"/>
      <c r="M1" s="252"/>
      <c r="N1" s="252"/>
    </row>
    <row r="2" spans="1:14" x14ac:dyDescent="0.45">
      <c r="A2" s="252"/>
      <c r="B2" s="252"/>
      <c r="C2" s="252"/>
      <c r="D2" s="252"/>
      <c r="E2" s="252"/>
      <c r="F2" s="252"/>
      <c r="G2" s="252"/>
      <c r="H2" s="252"/>
      <c r="I2" s="252"/>
      <c r="J2" s="252"/>
      <c r="K2" s="252"/>
      <c r="L2" s="252"/>
      <c r="M2" s="252"/>
      <c r="N2" s="252"/>
    </row>
    <row r="3" spans="1:14" ht="18.3" x14ac:dyDescent="0.7">
      <c r="A3" s="252"/>
      <c r="B3" s="253" t="s">
        <v>91</v>
      </c>
      <c r="C3" s="252"/>
      <c r="D3" s="252"/>
      <c r="E3" s="252"/>
      <c r="F3" s="252"/>
      <c r="G3" s="252"/>
      <c r="H3" s="252"/>
      <c r="I3" s="252"/>
      <c r="J3" s="252"/>
      <c r="K3" s="252"/>
      <c r="L3" s="252"/>
      <c r="M3" s="252"/>
      <c r="N3" s="252"/>
    </row>
    <row r="4" spans="1:14" ht="15.6" x14ac:dyDescent="0.6">
      <c r="A4" s="252"/>
      <c r="B4" s="254"/>
      <c r="C4" s="255" t="s">
        <v>90</v>
      </c>
      <c r="D4" s="250">
        <f>'Step 1'!D11</f>
        <v>1000</v>
      </c>
      <c r="E4" s="255" t="s">
        <v>92</v>
      </c>
      <c r="F4" s="252"/>
      <c r="G4" s="252"/>
      <c r="H4" s="252"/>
      <c r="I4" s="252"/>
      <c r="J4" s="252"/>
      <c r="K4" s="252"/>
      <c r="L4" s="252"/>
      <c r="M4" s="252"/>
      <c r="N4" s="252"/>
    </row>
    <row r="5" spans="1:14" ht="15.6" x14ac:dyDescent="0.6">
      <c r="A5" s="252"/>
      <c r="B5" s="252"/>
      <c r="C5" s="255" t="s">
        <v>89</v>
      </c>
      <c r="D5" s="250">
        <f>'Step 1'!D12</f>
        <v>6000</v>
      </c>
      <c r="E5" s="255" t="s">
        <v>93</v>
      </c>
      <c r="F5" s="252"/>
      <c r="G5" s="252"/>
      <c r="H5" s="252"/>
      <c r="I5" s="252"/>
      <c r="J5" s="252"/>
      <c r="K5" s="252"/>
      <c r="L5" s="252"/>
      <c r="M5" s="252"/>
      <c r="N5" s="252"/>
    </row>
    <row r="6" spans="1:14" ht="15.6" x14ac:dyDescent="0.6">
      <c r="A6" s="252"/>
      <c r="B6" s="252"/>
      <c r="C6" s="255" t="s">
        <v>199</v>
      </c>
      <c r="D6" s="250">
        <f>'Step 1'!D12+'Step 1'!D13+'Step 1'!G14+'Step 1'!G17+'Step 1'!G20</f>
        <v>10185</v>
      </c>
      <c r="E6" s="284" t="s">
        <v>200</v>
      </c>
      <c r="F6" s="252"/>
      <c r="G6" s="252"/>
      <c r="H6" s="252"/>
      <c r="I6" s="252"/>
      <c r="J6" s="252"/>
      <c r="K6" s="252"/>
      <c r="L6" s="252"/>
      <c r="M6" s="252"/>
      <c r="N6" s="252"/>
    </row>
    <row r="7" spans="1:14" x14ac:dyDescent="0.45">
      <c r="A7" s="252"/>
      <c r="B7" s="252"/>
      <c r="C7" s="252"/>
      <c r="D7" s="252"/>
      <c r="E7" s="252"/>
      <c r="F7" s="252"/>
      <c r="G7" s="252"/>
      <c r="H7" s="252"/>
      <c r="I7" s="252"/>
      <c r="J7" s="252"/>
      <c r="K7" s="252"/>
      <c r="L7" s="252"/>
      <c r="M7" s="252"/>
      <c r="N7" s="252"/>
    </row>
    <row r="8" spans="1:14" ht="17.7" x14ac:dyDescent="0.6">
      <c r="A8" s="252"/>
      <c r="B8" s="256"/>
      <c r="C8" s="257"/>
      <c r="D8" s="257"/>
      <c r="E8" s="257"/>
      <c r="F8" s="257"/>
      <c r="G8" s="257"/>
      <c r="H8" s="257"/>
      <c r="I8" s="258" t="s">
        <v>46</v>
      </c>
      <c r="J8" s="258" t="s">
        <v>78</v>
      </c>
      <c r="K8" s="258" t="s">
        <v>87</v>
      </c>
      <c r="L8" s="252"/>
      <c r="M8" s="252"/>
      <c r="N8" s="252"/>
    </row>
    <row r="9" spans="1:14" ht="15.6" x14ac:dyDescent="0.6">
      <c r="A9" s="252"/>
      <c r="B9" s="66" t="s">
        <v>18</v>
      </c>
      <c r="C9" s="259"/>
      <c r="D9" s="259"/>
      <c r="E9" s="259"/>
      <c r="F9" s="259"/>
      <c r="G9" s="259"/>
      <c r="H9" s="259"/>
      <c r="I9" s="198" t="s">
        <v>48</v>
      </c>
      <c r="J9" s="198" t="s">
        <v>49</v>
      </c>
      <c r="K9" s="198" t="s">
        <v>50</v>
      </c>
      <c r="L9" s="252"/>
      <c r="M9" s="252"/>
      <c r="N9" s="252"/>
    </row>
    <row r="10" spans="1:14" ht="15.6" x14ac:dyDescent="0.6">
      <c r="A10" s="252"/>
      <c r="B10" s="260" t="s">
        <v>4</v>
      </c>
      <c r="C10" s="259"/>
      <c r="D10" s="259"/>
      <c r="E10" s="259"/>
      <c r="F10" s="259"/>
      <c r="G10" s="259"/>
      <c r="H10" s="259"/>
      <c r="I10" s="127"/>
      <c r="J10" s="127"/>
      <c r="K10" s="127"/>
      <c r="L10" s="252"/>
      <c r="M10" s="252"/>
      <c r="N10" s="252"/>
    </row>
    <row r="11" spans="1:14" ht="15.6" x14ac:dyDescent="0.6">
      <c r="A11" s="252"/>
      <c r="B11" s="260"/>
      <c r="C11" s="259" t="s">
        <v>129</v>
      </c>
      <c r="D11" s="261">
        <f>'Step 1'!D28</f>
        <v>6000</v>
      </c>
      <c r="E11" s="288" t="s">
        <v>201</v>
      </c>
      <c r="F11" s="289">
        <f>'Step 1'!F28</f>
        <v>4</v>
      </c>
      <c r="G11" s="291">
        <f>'Step 1'!G28</f>
        <v>9</v>
      </c>
      <c r="H11" s="264" t="s">
        <v>47</v>
      </c>
      <c r="I11" s="265">
        <f>D11*F11*G11</f>
        <v>216000</v>
      </c>
      <c r="J11" s="179">
        <f>I11/$D$5</f>
        <v>36</v>
      </c>
      <c r="K11" s="266">
        <f>I11/$D$4</f>
        <v>216</v>
      </c>
      <c r="L11" s="252"/>
      <c r="M11" s="252"/>
      <c r="N11" s="252"/>
    </row>
    <row r="12" spans="1:14" ht="15.6" x14ac:dyDescent="0.6">
      <c r="A12" s="252"/>
      <c r="B12" s="260"/>
      <c r="C12" s="259" t="s">
        <v>130</v>
      </c>
      <c r="D12" s="261">
        <f>'Step 1'!D29</f>
        <v>2500</v>
      </c>
      <c r="E12" s="288" t="s">
        <v>201</v>
      </c>
      <c r="F12" s="289">
        <f>'Step 1'!F29</f>
        <v>5</v>
      </c>
      <c r="G12" s="291">
        <f>'Step 1'!G29</f>
        <v>9</v>
      </c>
      <c r="H12" s="264" t="s">
        <v>47</v>
      </c>
      <c r="I12" s="265">
        <f t="shared" ref="I12:I14" si="0">D12*F12*G12</f>
        <v>112500</v>
      </c>
      <c r="J12" s="179">
        <f t="shared" ref="J12:J14" si="1">I12/$D$5</f>
        <v>18.75</v>
      </c>
      <c r="K12" s="266">
        <f t="shared" ref="K12:K14" si="2">I12/$D$4</f>
        <v>112.5</v>
      </c>
      <c r="L12" s="252"/>
      <c r="M12" s="252"/>
      <c r="N12" s="252"/>
    </row>
    <row r="13" spans="1:14" ht="15.6" x14ac:dyDescent="0.6">
      <c r="A13" s="252"/>
      <c r="B13" s="260"/>
      <c r="C13" s="259" t="s">
        <v>2</v>
      </c>
      <c r="D13" s="261">
        <f>'Step 1'!D30</f>
        <v>60</v>
      </c>
      <c r="E13" s="288" t="s">
        <v>201</v>
      </c>
      <c r="F13" s="289">
        <f>'Step 1'!F30</f>
        <v>6</v>
      </c>
      <c r="G13" s="291">
        <f>'Step 1'!G30</f>
        <v>9</v>
      </c>
      <c r="H13" s="264" t="s">
        <v>47</v>
      </c>
      <c r="I13" s="265">
        <f t="shared" si="0"/>
        <v>3240</v>
      </c>
      <c r="J13" s="179">
        <f t="shared" si="1"/>
        <v>0.54</v>
      </c>
      <c r="K13" s="266">
        <f t="shared" si="2"/>
        <v>3.24</v>
      </c>
      <c r="L13" s="252"/>
      <c r="M13" s="252"/>
      <c r="N13" s="252"/>
    </row>
    <row r="14" spans="1:14" ht="15.6" x14ac:dyDescent="0.6">
      <c r="A14" s="252"/>
      <c r="B14" s="260"/>
      <c r="C14" s="259" t="s">
        <v>138</v>
      </c>
      <c r="D14" s="285">
        <f>'Step 1'!D31</f>
        <v>1625</v>
      </c>
      <c r="E14" s="288" t="s">
        <v>201</v>
      </c>
      <c r="F14" s="290">
        <f>'Step 1'!F31</f>
        <v>0.8</v>
      </c>
      <c r="G14" s="292">
        <f>'Step 1'!G31</f>
        <v>9</v>
      </c>
      <c r="H14" s="286" t="s">
        <v>47</v>
      </c>
      <c r="I14" s="270">
        <f t="shared" si="0"/>
        <v>11700</v>
      </c>
      <c r="J14" s="271">
        <f t="shared" si="1"/>
        <v>1.95</v>
      </c>
      <c r="K14" s="272">
        <f t="shared" si="2"/>
        <v>11.7</v>
      </c>
      <c r="L14" s="252"/>
      <c r="M14" s="252"/>
      <c r="N14" s="252"/>
    </row>
    <row r="15" spans="1:14" ht="15.6" x14ac:dyDescent="0.6">
      <c r="A15" s="252"/>
      <c r="B15" s="260"/>
      <c r="C15" s="259"/>
      <c r="D15" s="261">
        <f>SUM(D11:D14)</f>
        <v>10185</v>
      </c>
      <c r="E15" s="288" t="s">
        <v>201</v>
      </c>
      <c r="F15" s="289">
        <f>'Step 1'!F32</f>
        <v>3.7466863033873343</v>
      </c>
      <c r="G15" s="291">
        <f>'Step 1'!G32</f>
        <v>9</v>
      </c>
      <c r="H15" s="264" t="s">
        <v>150</v>
      </c>
      <c r="I15" s="265">
        <f>SUM(I11:I14)</f>
        <v>343440</v>
      </c>
      <c r="J15" s="179">
        <f>SUM(J11:J14)</f>
        <v>57.24</v>
      </c>
      <c r="K15" s="266">
        <f>SUM(K11:K14)</f>
        <v>343.44</v>
      </c>
      <c r="L15" s="252"/>
      <c r="M15" s="252"/>
      <c r="N15" s="252"/>
    </row>
    <row r="16" spans="1:14" ht="15.6" x14ac:dyDescent="0.6">
      <c r="A16" s="252"/>
      <c r="B16" s="260" t="s">
        <v>22</v>
      </c>
      <c r="C16" s="259"/>
      <c r="D16" s="261"/>
      <c r="E16" s="259"/>
      <c r="F16" s="259"/>
      <c r="G16" s="259"/>
      <c r="H16" s="259"/>
      <c r="I16" s="265"/>
      <c r="J16" s="265"/>
      <c r="K16" s="265"/>
      <c r="L16" s="252"/>
      <c r="M16" s="252"/>
      <c r="N16" s="252"/>
    </row>
    <row r="17" spans="1:14" ht="15.6" x14ac:dyDescent="0.6">
      <c r="A17" s="252"/>
      <c r="B17" s="66"/>
      <c r="C17" s="267" t="s">
        <v>19</v>
      </c>
      <c r="D17" s="279">
        <f>'Step 1'!D34</f>
        <v>900</v>
      </c>
      <c r="E17" s="287" t="s">
        <v>201</v>
      </c>
      <c r="F17" s="293">
        <f>'Step 1'!F34</f>
        <v>40</v>
      </c>
      <c r="G17" s="259" t="s">
        <v>55</v>
      </c>
      <c r="H17" s="252"/>
      <c r="I17" s="265">
        <f>D17*F17</f>
        <v>36000</v>
      </c>
      <c r="J17" s="179">
        <f t="shared" ref="J17:J26" si="3">I17/$D$5</f>
        <v>6</v>
      </c>
      <c r="K17" s="266">
        <f t="shared" ref="K17:K26" si="4">I17/$D$4</f>
        <v>36</v>
      </c>
      <c r="L17" s="252"/>
      <c r="M17" s="252"/>
      <c r="N17" s="252"/>
    </row>
    <row r="18" spans="1:14" ht="15.6" x14ac:dyDescent="0.6">
      <c r="A18" s="252"/>
      <c r="B18" s="66"/>
      <c r="C18" s="267" t="s">
        <v>132</v>
      </c>
      <c r="D18" s="279">
        <f>'Step 1'!D35</f>
        <v>375</v>
      </c>
      <c r="E18" s="287" t="s">
        <v>201</v>
      </c>
      <c r="F18" s="293">
        <f>'Step 1'!F35</f>
        <v>40</v>
      </c>
      <c r="G18" s="259" t="s">
        <v>55</v>
      </c>
      <c r="H18" s="252"/>
      <c r="I18" s="265">
        <f>D18*F18</f>
        <v>15000</v>
      </c>
      <c r="J18" s="179">
        <f t="shared" si="3"/>
        <v>2.5</v>
      </c>
      <c r="K18" s="266">
        <f t="shared" si="4"/>
        <v>15</v>
      </c>
      <c r="L18" s="252"/>
      <c r="M18" s="252"/>
      <c r="N18" s="252"/>
    </row>
    <row r="19" spans="1:14" ht="15.6" x14ac:dyDescent="0.6">
      <c r="A19" s="252"/>
      <c r="B19" s="66"/>
      <c r="C19" s="267" t="s">
        <v>20</v>
      </c>
      <c r="D19" s="279">
        <f>'Step 1'!D36</f>
        <v>3775</v>
      </c>
      <c r="E19" s="287" t="s">
        <v>201</v>
      </c>
      <c r="F19" s="293">
        <f>'Step 1'!F36</f>
        <v>60</v>
      </c>
      <c r="G19" s="259" t="s">
        <v>55</v>
      </c>
      <c r="H19" s="252"/>
      <c r="I19" s="265">
        <f>D19*F19</f>
        <v>226500</v>
      </c>
      <c r="J19" s="179">
        <f t="shared" si="3"/>
        <v>37.75</v>
      </c>
      <c r="K19" s="266">
        <f t="shared" si="4"/>
        <v>226.5</v>
      </c>
      <c r="L19" s="252"/>
      <c r="M19" s="252"/>
      <c r="N19" s="252"/>
    </row>
    <row r="20" spans="1:14" ht="15.6" x14ac:dyDescent="0.6">
      <c r="A20" s="252"/>
      <c r="B20" s="66"/>
      <c r="C20" s="267" t="s">
        <v>21</v>
      </c>
      <c r="D20" s="294">
        <f>'Step 1'!D37</f>
        <v>12</v>
      </c>
      <c r="E20" s="287" t="s">
        <v>201</v>
      </c>
      <c r="F20" s="293">
        <f>'Step 1'!F37</f>
        <v>40</v>
      </c>
      <c r="G20" s="259" t="s">
        <v>55</v>
      </c>
      <c r="H20" s="252"/>
      <c r="I20" s="270">
        <f>D20*F20</f>
        <v>480</v>
      </c>
      <c r="J20" s="271">
        <f t="shared" si="3"/>
        <v>0.08</v>
      </c>
      <c r="K20" s="272">
        <f t="shared" si="4"/>
        <v>0.48</v>
      </c>
      <c r="L20" s="252"/>
      <c r="M20" s="252"/>
      <c r="N20" s="252"/>
    </row>
    <row r="21" spans="1:14" ht="15.6" x14ac:dyDescent="0.6">
      <c r="A21" s="252"/>
      <c r="B21" s="66"/>
      <c r="C21" s="267"/>
      <c r="D21" s="279">
        <f>SUM(D17:D20)</f>
        <v>5062</v>
      </c>
      <c r="E21" s="287" t="s">
        <v>201</v>
      </c>
      <c r="F21" s="268"/>
      <c r="G21" s="259"/>
      <c r="H21" s="259"/>
      <c r="I21" s="265">
        <f>SUM(I17:I20)</f>
        <v>277980</v>
      </c>
      <c r="J21" s="179">
        <f>I21/$D$5</f>
        <v>46.33</v>
      </c>
      <c r="K21" s="266">
        <f t="shared" si="4"/>
        <v>277.98</v>
      </c>
      <c r="L21" s="252"/>
      <c r="M21" s="252"/>
      <c r="N21" s="252"/>
    </row>
    <row r="22" spans="1:14" ht="15.6" x14ac:dyDescent="0.6">
      <c r="A22" s="252"/>
      <c r="B22" s="260" t="s">
        <v>28</v>
      </c>
      <c r="C22" s="273"/>
      <c r="D22" s="273"/>
      <c r="E22" s="268"/>
      <c r="F22" s="268"/>
      <c r="G22" s="259"/>
      <c r="H22" s="259"/>
      <c r="I22" s="265"/>
      <c r="J22" s="265"/>
      <c r="K22" s="265"/>
      <c r="L22" s="252"/>
      <c r="M22" s="252"/>
      <c r="N22" s="252"/>
    </row>
    <row r="23" spans="1:14" ht="15.6" x14ac:dyDescent="0.6">
      <c r="A23" s="252"/>
      <c r="B23" s="274"/>
      <c r="C23" s="267" t="s">
        <v>1</v>
      </c>
      <c r="D23" s="261" t="s">
        <v>99</v>
      </c>
      <c r="E23" s="268"/>
      <c r="F23" s="268"/>
      <c r="G23" s="259"/>
      <c r="H23" s="259"/>
      <c r="I23" s="266"/>
      <c r="J23" s="179"/>
      <c r="K23" s="266"/>
      <c r="L23" s="252"/>
      <c r="M23" s="252"/>
      <c r="N23" s="252"/>
    </row>
    <row r="24" spans="1:14" ht="15.6" x14ac:dyDescent="0.6">
      <c r="A24" s="252"/>
      <c r="B24" s="274"/>
      <c r="C24" s="267" t="s">
        <v>133</v>
      </c>
      <c r="D24" s="261" t="s">
        <v>202</v>
      </c>
      <c r="E24" s="268"/>
      <c r="F24" s="268"/>
      <c r="G24" s="259"/>
      <c r="H24" s="259"/>
      <c r="I24" s="266"/>
      <c r="J24" s="179"/>
      <c r="K24" s="266"/>
      <c r="L24" s="252"/>
      <c r="M24" s="252"/>
      <c r="N24" s="252"/>
    </row>
    <row r="25" spans="1:14" ht="15.6" x14ac:dyDescent="0.6">
      <c r="A25" s="252"/>
      <c r="B25" s="274"/>
      <c r="C25" s="267" t="s">
        <v>2</v>
      </c>
      <c r="D25" s="261">
        <f>'Step 1'!D42</f>
        <v>12</v>
      </c>
      <c r="E25" s="268" t="s">
        <v>57</v>
      </c>
      <c r="F25" s="269">
        <f>'Step 1'!F42</f>
        <v>800</v>
      </c>
      <c r="G25" s="259" t="s">
        <v>58</v>
      </c>
      <c r="H25" s="259"/>
      <c r="I25" s="272">
        <f>-D25*F25</f>
        <v>-9600</v>
      </c>
      <c r="J25" s="271">
        <f t="shared" si="3"/>
        <v>-1.6</v>
      </c>
      <c r="K25" s="272">
        <f t="shared" si="4"/>
        <v>-9.6</v>
      </c>
      <c r="L25" s="252"/>
      <c r="M25" s="252"/>
      <c r="N25" s="252"/>
    </row>
    <row r="26" spans="1:14" ht="15.6" x14ac:dyDescent="0.6">
      <c r="A26" s="252"/>
      <c r="B26" s="66"/>
      <c r="C26" s="273"/>
      <c r="D26" s="273"/>
      <c r="E26" s="273"/>
      <c r="F26" s="273"/>
      <c r="G26" s="273"/>
      <c r="H26" s="273"/>
      <c r="I26" s="266">
        <f>SUM(I23:I25)</f>
        <v>-9600</v>
      </c>
      <c r="J26" s="179">
        <f t="shared" si="3"/>
        <v>-1.6</v>
      </c>
      <c r="K26" s="266">
        <f t="shared" si="4"/>
        <v>-9.6</v>
      </c>
      <c r="L26" s="252"/>
      <c r="M26" s="252"/>
      <c r="N26" s="252"/>
    </row>
    <row r="27" spans="1:14" ht="15.6" x14ac:dyDescent="0.6">
      <c r="A27" s="252"/>
      <c r="B27" s="275" t="s">
        <v>0</v>
      </c>
      <c r="C27" s="257"/>
      <c r="D27" s="257"/>
      <c r="E27" s="257"/>
      <c r="F27" s="257"/>
      <c r="G27" s="257"/>
      <c r="H27" s="257"/>
      <c r="I27" s="276">
        <f>I15+I21+I26</f>
        <v>611820</v>
      </c>
      <c r="J27" s="276">
        <f t="shared" ref="J27:K27" si="5">J15+J21+J26</f>
        <v>101.97</v>
      </c>
      <c r="K27" s="276">
        <f t="shared" si="5"/>
        <v>611.82000000000005</v>
      </c>
      <c r="L27" s="252"/>
      <c r="M27" s="252"/>
      <c r="N27" s="252"/>
    </row>
    <row r="28" spans="1:14" ht="15.6" x14ac:dyDescent="0.6">
      <c r="A28" s="252"/>
      <c r="B28" s="66" t="s">
        <v>23</v>
      </c>
      <c r="C28" s="259"/>
      <c r="D28" s="259"/>
      <c r="E28" s="259"/>
      <c r="F28" s="259"/>
      <c r="G28" s="259"/>
      <c r="H28" s="259"/>
      <c r="I28" s="198" t="s">
        <v>48</v>
      </c>
      <c r="J28" s="198" t="s">
        <v>49</v>
      </c>
      <c r="K28" s="198" t="s">
        <v>50</v>
      </c>
      <c r="L28" s="252"/>
      <c r="M28" s="252"/>
      <c r="N28" s="252"/>
    </row>
    <row r="29" spans="1:14" ht="15.6" x14ac:dyDescent="0.6">
      <c r="A29" s="252"/>
      <c r="B29" s="260" t="s">
        <v>3</v>
      </c>
      <c r="C29" s="259"/>
      <c r="D29" s="259"/>
      <c r="E29" s="259"/>
      <c r="F29" s="259"/>
      <c r="G29" s="259"/>
      <c r="H29" s="259"/>
      <c r="L29" s="252"/>
      <c r="M29" s="252"/>
      <c r="N29" s="252"/>
    </row>
    <row r="30" spans="1:14" ht="15.6" x14ac:dyDescent="0.6">
      <c r="A30" s="252"/>
      <c r="B30" s="260"/>
      <c r="C30" s="259" t="s">
        <v>203</v>
      </c>
      <c r="D30" s="261">
        <f>'Step 1'!D47</f>
        <v>10185</v>
      </c>
      <c r="E30" s="262" t="str">
        <f>E11</f>
        <v xml:space="preserve"> hd</v>
      </c>
      <c r="F30" s="263">
        <f>'Step 1'!F47</f>
        <v>3.5</v>
      </c>
      <c r="G30" s="264" t="s">
        <v>204</v>
      </c>
      <c r="H30" s="259"/>
      <c r="I30" s="265">
        <f>CEILING(D30*F30,10)</f>
        <v>35650</v>
      </c>
      <c r="J30" s="179">
        <f>I30/$D$5</f>
        <v>5.9416666666666664</v>
      </c>
      <c r="K30" s="266">
        <f>I30/$D$4</f>
        <v>35.65</v>
      </c>
      <c r="L30" s="252"/>
      <c r="M30" s="252"/>
      <c r="N30" s="252"/>
    </row>
    <row r="31" spans="1:14" ht="15.6" x14ac:dyDescent="0.6">
      <c r="A31" s="252"/>
      <c r="B31" s="260"/>
      <c r="C31" s="259" t="s">
        <v>135</v>
      </c>
      <c r="D31" s="261">
        <f>'Step 1'!D48</f>
        <v>5400</v>
      </c>
      <c r="E31" s="262" t="str">
        <f>E12</f>
        <v xml:space="preserve"> hd</v>
      </c>
      <c r="F31" s="263">
        <f>'Step 1'!F48</f>
        <v>3.5</v>
      </c>
      <c r="G31" s="264" t="s">
        <v>204</v>
      </c>
      <c r="H31" s="259"/>
      <c r="I31" s="270">
        <f>CEILING(D31*F31,10)</f>
        <v>18900</v>
      </c>
      <c r="J31" s="271">
        <f>I31/$D$5</f>
        <v>3.15</v>
      </c>
      <c r="K31" s="272">
        <f>I31/$D$4</f>
        <v>18.899999999999999</v>
      </c>
      <c r="L31" s="252"/>
      <c r="M31" s="252"/>
      <c r="N31" s="252"/>
    </row>
    <row r="32" spans="1:14" ht="15.6" x14ac:dyDescent="0.6">
      <c r="A32" s="252"/>
      <c r="B32" s="260"/>
      <c r="C32" s="259"/>
      <c r="D32" s="261"/>
      <c r="E32" s="262"/>
      <c r="F32" s="263"/>
      <c r="G32" s="264"/>
      <c r="H32" s="259"/>
      <c r="I32" s="265">
        <f>SUM(I30:I31)</f>
        <v>54550</v>
      </c>
      <c r="J32" s="179">
        <f>SUM(J30:J31)</f>
        <v>9.0916666666666668</v>
      </c>
      <c r="K32" s="266">
        <f>SUM(K30:K31)</f>
        <v>54.55</v>
      </c>
      <c r="L32" s="252"/>
      <c r="M32" s="252"/>
      <c r="N32" s="252"/>
    </row>
    <row r="33" spans="1:14" ht="15.6" x14ac:dyDescent="0.6">
      <c r="A33" s="252"/>
      <c r="B33" s="260" t="s">
        <v>24</v>
      </c>
      <c r="C33" s="259"/>
      <c r="D33" s="261">
        <f>D30</f>
        <v>10185</v>
      </c>
      <c r="E33" s="262" t="str">
        <f>E30</f>
        <v xml:space="preserve"> hd</v>
      </c>
      <c r="F33" s="263">
        <f>'Step 1'!F50</f>
        <v>6.5</v>
      </c>
      <c r="G33" s="264" t="s">
        <v>204</v>
      </c>
      <c r="H33" s="259"/>
      <c r="I33" s="265">
        <f>CEILING(D33*F33,10)</f>
        <v>66210</v>
      </c>
      <c r="J33" s="179">
        <f t="shared" ref="J33:J36" si="6">I33/$D$5</f>
        <v>11.035</v>
      </c>
      <c r="K33" s="266">
        <f t="shared" ref="K33:K36" si="7">I33/$D$4</f>
        <v>66.209999999999994</v>
      </c>
      <c r="L33" s="252"/>
      <c r="M33" s="252"/>
      <c r="N33" s="252"/>
    </row>
    <row r="34" spans="1:14" ht="15.6" x14ac:dyDescent="0.6">
      <c r="A34" s="252"/>
      <c r="B34" s="260" t="s">
        <v>25</v>
      </c>
      <c r="C34" s="259"/>
      <c r="D34" s="279">
        <f>'Step 1'!D51</f>
        <v>224.47058823529412</v>
      </c>
      <c r="E34" s="262" t="s">
        <v>59</v>
      </c>
      <c r="F34" s="263">
        <f>'Step 1'!F51</f>
        <v>20</v>
      </c>
      <c r="G34" s="264" t="s">
        <v>60</v>
      </c>
      <c r="H34" s="259"/>
      <c r="I34" s="265">
        <f>CEILING(D34*F34,10)</f>
        <v>4490</v>
      </c>
      <c r="J34" s="179">
        <f t="shared" si="6"/>
        <v>0.74833333333333329</v>
      </c>
      <c r="K34" s="266">
        <f t="shared" si="7"/>
        <v>4.49</v>
      </c>
      <c r="L34" s="252"/>
      <c r="M34" s="252"/>
      <c r="N34" s="252"/>
    </row>
    <row r="35" spans="1:14" ht="15.6" x14ac:dyDescent="0.6">
      <c r="A35" s="252"/>
      <c r="B35" s="260" t="s">
        <v>26</v>
      </c>
      <c r="C35" s="259"/>
      <c r="D35" s="259"/>
      <c r="E35" s="259"/>
      <c r="F35" s="263">
        <f>'Step 1'!F52</f>
        <v>15</v>
      </c>
      <c r="G35" s="264" t="s">
        <v>60</v>
      </c>
      <c r="H35" s="259"/>
      <c r="I35" s="265">
        <f>CEILING(D34*F35,10)</f>
        <v>3370</v>
      </c>
      <c r="J35" s="179">
        <f t="shared" si="6"/>
        <v>0.56166666666666665</v>
      </c>
      <c r="K35" s="266">
        <f t="shared" si="7"/>
        <v>3.37</v>
      </c>
      <c r="L35" s="252"/>
      <c r="M35" s="252"/>
      <c r="N35" s="252"/>
    </row>
    <row r="36" spans="1:14" ht="15.6" x14ac:dyDescent="0.6">
      <c r="A36" s="252"/>
      <c r="B36" s="260" t="s">
        <v>27</v>
      </c>
      <c r="C36" s="259"/>
      <c r="D36" s="261">
        <f>D17+D18+D19+D20+D25</f>
        <v>5074</v>
      </c>
      <c r="E36" s="268" t="s">
        <v>57</v>
      </c>
      <c r="F36" s="263">
        <f>'Step 1'!F53</f>
        <v>2</v>
      </c>
      <c r="G36" s="264" t="s">
        <v>61</v>
      </c>
      <c r="H36" s="259"/>
      <c r="I36" s="265">
        <f>CEILING(D36*F36,10)</f>
        <v>10150</v>
      </c>
      <c r="J36" s="179">
        <f t="shared" si="6"/>
        <v>1.6916666666666667</v>
      </c>
      <c r="K36" s="266">
        <f t="shared" si="7"/>
        <v>10.15</v>
      </c>
      <c r="L36" s="252"/>
      <c r="M36" s="252"/>
      <c r="N36" s="252"/>
    </row>
    <row r="37" spans="1:14" ht="15.6" x14ac:dyDescent="0.6">
      <c r="A37" s="252"/>
      <c r="B37" s="275" t="s">
        <v>41</v>
      </c>
      <c r="C37" s="257"/>
      <c r="D37" s="257"/>
      <c r="E37" s="280"/>
      <c r="F37" s="257"/>
      <c r="G37" s="257"/>
      <c r="H37" s="257"/>
      <c r="I37" s="276">
        <f>SUM(I32:I36)</f>
        <v>138770</v>
      </c>
      <c r="J37" s="276">
        <f t="shared" ref="J37:K37" si="8">SUM(J32:J36)</f>
        <v>23.128333333333334</v>
      </c>
      <c r="K37" s="276">
        <f t="shared" si="8"/>
        <v>138.76999999999998</v>
      </c>
      <c r="L37" s="252"/>
      <c r="M37" s="252"/>
      <c r="N37" s="252"/>
    </row>
    <row r="38" spans="1:14" ht="15.6" x14ac:dyDescent="0.6">
      <c r="A38" s="252"/>
      <c r="B38" s="281" t="s">
        <v>62</v>
      </c>
      <c r="C38" s="257"/>
      <c r="D38" s="257"/>
      <c r="E38" s="280"/>
      <c r="F38" s="257"/>
      <c r="G38" s="257"/>
      <c r="H38" s="257"/>
      <c r="I38" s="276">
        <f>I27-I37</f>
        <v>473050</v>
      </c>
      <c r="J38" s="277">
        <f>J27-J37</f>
        <v>78.841666666666669</v>
      </c>
      <c r="K38" s="278">
        <f>K27-K37</f>
        <v>473.05000000000007</v>
      </c>
      <c r="L38" s="252"/>
      <c r="M38" s="252"/>
      <c r="N38" s="252"/>
    </row>
    <row r="39" spans="1:14" ht="15.6" x14ac:dyDescent="0.6">
      <c r="A39" s="252"/>
      <c r="B39" s="282"/>
      <c r="C39" s="255"/>
      <c r="D39" s="255"/>
      <c r="E39" s="255"/>
      <c r="F39" s="255"/>
      <c r="G39" s="255"/>
      <c r="H39" s="255"/>
      <c r="I39" s="255"/>
      <c r="J39" s="255"/>
      <c r="K39" s="255"/>
      <c r="L39" s="252"/>
      <c r="M39" s="252"/>
      <c r="N39" s="252"/>
    </row>
    <row r="40" spans="1:14" x14ac:dyDescent="0.45">
      <c r="A40" s="252"/>
      <c r="B40" s="252"/>
      <c r="C40" s="252"/>
      <c r="D40" s="252"/>
      <c r="E40" s="252"/>
      <c r="F40" s="252"/>
      <c r="G40" s="252"/>
      <c r="H40" s="252"/>
      <c r="I40" s="252"/>
      <c r="J40" s="252"/>
      <c r="K40" s="252"/>
      <c r="L40" s="252"/>
      <c r="M40" s="252"/>
      <c r="N40" s="252"/>
    </row>
    <row r="41" spans="1:14" ht="18.3" x14ac:dyDescent="0.7">
      <c r="A41" s="252"/>
      <c r="B41" s="253" t="s">
        <v>211</v>
      </c>
      <c r="C41" s="252"/>
      <c r="D41" s="255"/>
      <c r="E41" s="255"/>
      <c r="F41" s="255"/>
      <c r="G41" s="283"/>
      <c r="H41" s="283"/>
      <c r="I41" s="252"/>
      <c r="J41" s="252"/>
      <c r="K41" s="252"/>
      <c r="L41" s="252"/>
      <c r="M41" s="252"/>
      <c r="N41" s="252"/>
    </row>
    <row r="42" spans="1:14" ht="46.8" x14ac:dyDescent="0.5">
      <c r="A42" s="252"/>
      <c r="B42" s="342"/>
      <c r="C42" s="343" t="s">
        <v>7</v>
      </c>
      <c r="D42" s="344" t="s">
        <v>17</v>
      </c>
      <c r="E42" s="344" t="s">
        <v>98</v>
      </c>
      <c r="F42" s="344" t="s">
        <v>210</v>
      </c>
      <c r="G42" s="344" t="s">
        <v>143</v>
      </c>
      <c r="H42" s="344" t="s">
        <v>144</v>
      </c>
      <c r="I42" s="344" t="s">
        <v>227</v>
      </c>
      <c r="J42" s="344" t="s">
        <v>145</v>
      </c>
      <c r="K42" s="344" t="s">
        <v>220</v>
      </c>
      <c r="L42" s="345" t="s">
        <v>213</v>
      </c>
      <c r="M42" s="252"/>
    </row>
    <row r="43" spans="1:14" ht="15.6" x14ac:dyDescent="0.6">
      <c r="A43" s="252"/>
      <c r="B43" s="330" t="s">
        <v>8</v>
      </c>
      <c r="C43" s="134">
        <f>'Step 3'!F107</f>
        <v>0.25</v>
      </c>
      <c r="D43" s="331">
        <f>'Step 2'!$E36*(1-C$43)+('Step 2'!$G13*C$43)</f>
        <v>0.87750000000000006</v>
      </c>
      <c r="E43" s="332">
        <f>'Step 2'!$E37*(1-C$43)+('Step 2'!$G14*C$43)</f>
        <v>5.0625000000000003E-2</v>
      </c>
      <c r="F43" s="332">
        <f>'Step 2'!$E38*(1-C$43)+('Step 2'!$G15*C$43)</f>
        <v>2.0250000000000001E-2</v>
      </c>
      <c r="G43" s="333">
        <f>'Step 2'!$E39*(1-C$43)+('Step 2'!$G16*C$43)</f>
        <v>39</v>
      </c>
      <c r="H43" s="333">
        <f>'Step 2'!$E40*(1-C$43)+('Step 2'!$G17*C$43)</f>
        <v>39</v>
      </c>
      <c r="I43" s="333">
        <f>'Step 2'!$E41*(1-C$43)+('Step 2'!$G18*C$43)</f>
        <v>58.5</v>
      </c>
      <c r="J43" s="333">
        <f>'Step 2'!$E42*(1-C$43)+('Step 2'!$G19*C$43)</f>
        <v>39</v>
      </c>
      <c r="K43" s="334">
        <f>'Step 2'!$E43*(1-C$43)+('Step 2'!$G20*C$43)</f>
        <v>6.2010000000000005</v>
      </c>
      <c r="L43" s="333">
        <f>'Step 2'!$E44*(1-C$43)+('Step 2'!$G21*C$43)</f>
        <v>9.0562500000000004</v>
      </c>
      <c r="M43" s="252"/>
      <c r="N43" s="252"/>
    </row>
    <row r="44" spans="1:14" ht="15.6" x14ac:dyDescent="0.6">
      <c r="A44" s="252"/>
      <c r="B44" s="335" t="s">
        <v>9</v>
      </c>
      <c r="C44" s="138">
        <f>'Step 3'!F108</f>
        <v>0.15</v>
      </c>
      <c r="D44" s="135">
        <f>'Step 2'!$E36*(1-C$44)+('Step 2'!$G13*C$44)</f>
        <v>0.88650000000000007</v>
      </c>
      <c r="E44" s="336">
        <f>'Step 2'!$E37*(1-C$44)+('Step 2'!$G14*C$44)</f>
        <v>5.0375000000000003E-2</v>
      </c>
      <c r="F44" s="336">
        <f>'Step 2'!$E38*(1-C$44)+('Step 2'!$G15*C$44)</f>
        <v>2.0150000000000001E-2</v>
      </c>
      <c r="G44" s="337">
        <f>'Step 2'!$E39*(1-C$44)+('Step 2'!$G16*C$44)</f>
        <v>39.4</v>
      </c>
      <c r="H44" s="337">
        <f>'Step 2'!$E40*(1-C$44)+('Step 2'!$G17*C$44)</f>
        <v>39.4</v>
      </c>
      <c r="I44" s="337">
        <f>'Step 2'!$E41*(1-C$44)+('Step 2'!$G18*C$44)</f>
        <v>59.1</v>
      </c>
      <c r="J44" s="337">
        <f>'Step 2'!$E42*(1-C$44)+('Step 2'!$G19*C$44)</f>
        <v>39.4</v>
      </c>
      <c r="K44" s="207">
        <f>'Step 2'!$E43*(1-C$44)+('Step 2'!$G20*C$44)</f>
        <v>6.2645999999999997</v>
      </c>
      <c r="L44" s="337">
        <f>'Step 2'!$E44*(1-C$44)+('Step 2'!$G21*C$44)</f>
        <v>9.0337499999999995</v>
      </c>
      <c r="M44" s="252"/>
      <c r="N44" s="252"/>
    </row>
    <row r="45" spans="1:14" ht="15.6" x14ac:dyDescent="0.6">
      <c r="A45" s="252"/>
      <c r="B45" s="335" t="s">
        <v>10</v>
      </c>
      <c r="C45" s="138">
        <f>'Step 3'!F109</f>
        <v>0.05</v>
      </c>
      <c r="D45" s="135">
        <f>'Step 2'!$E36*(1-C$45)+('Step 2'!$G13*C$45)</f>
        <v>0.89549999999999996</v>
      </c>
      <c r="E45" s="336">
        <f>'Step 2'!$E37*(1-C$45)+('Step 2'!$G14*C$45)</f>
        <v>5.0125000000000003E-2</v>
      </c>
      <c r="F45" s="336">
        <f>'Step 2'!$E38*(1-C$45)+('Step 2'!$G15*C$45)</f>
        <v>2.0049999999999998E-2</v>
      </c>
      <c r="G45" s="337">
        <f>'Step 2'!$E39*(1-C$45)+('Step 2'!$G16*C$45)</f>
        <v>39.799999999999997</v>
      </c>
      <c r="H45" s="337">
        <f>'Step 2'!$E40*(1-C$45)+('Step 2'!$G17*C$45)</f>
        <v>39.799999999999997</v>
      </c>
      <c r="I45" s="337">
        <f>'Step 2'!$E41*(1-C$45)+('Step 2'!$G18*C$45)</f>
        <v>59.7</v>
      </c>
      <c r="J45" s="337">
        <f>'Step 2'!$E42*(1-C$45)+('Step 2'!$G19*C$45)</f>
        <v>39.799999999999997</v>
      </c>
      <c r="K45" s="207">
        <f>'Step 2'!$E43*(1-C$45)+('Step 2'!$G20*C$45)</f>
        <v>6.3281999999999998</v>
      </c>
      <c r="L45" s="337">
        <f>'Step 2'!$E44*(1-C$45)+('Step 2'!$G21*C$45)</f>
        <v>9.0112499999999986</v>
      </c>
      <c r="M45" s="252"/>
      <c r="N45" s="252"/>
    </row>
    <row r="46" spans="1:14" ht="15.6" x14ac:dyDescent="0.6">
      <c r="A46" s="252"/>
      <c r="B46" s="335" t="s">
        <v>11</v>
      </c>
      <c r="C46" s="138">
        <f>'Step 3'!F110</f>
        <v>0</v>
      </c>
      <c r="D46" s="135">
        <f>'Step 2'!$E36*(1-C$46)+('Step 2'!$G13*C$46)</f>
        <v>0.9</v>
      </c>
      <c r="E46" s="336">
        <f>'Step 2'!$E37*(1-C$46)+('Step 2'!$G14*C$46)</f>
        <v>0.05</v>
      </c>
      <c r="F46" s="336">
        <f>'Step 2'!$E38*(1-C$46)+('Step 2'!$G15*C$46)</f>
        <v>0.02</v>
      </c>
      <c r="G46" s="337">
        <f>'Step 2'!$E39*(1-C$46)+('Step 2'!$G16*C$46)</f>
        <v>40</v>
      </c>
      <c r="H46" s="337">
        <f>'Step 2'!$E40*(1-C$46)+('Step 2'!$G17*C$46)</f>
        <v>40</v>
      </c>
      <c r="I46" s="337">
        <f>'Step 2'!$E41*(1-C$46)+('Step 2'!$G18*C$46)</f>
        <v>60</v>
      </c>
      <c r="J46" s="337">
        <f>'Step 2'!$E42*(1-C$46)+('Step 2'!$G19*C$46)</f>
        <v>40</v>
      </c>
      <c r="K46" s="207">
        <f>'Step 2'!$E43*(1-C$46)+('Step 2'!$G20*C$46)</f>
        <v>6.36</v>
      </c>
      <c r="L46" s="337">
        <f>'Step 2'!$E44*(1-C$46)+('Step 2'!$G21*C$46)</f>
        <v>9</v>
      </c>
      <c r="M46" s="252"/>
      <c r="N46" s="252"/>
    </row>
    <row r="47" spans="1:14" ht="15.6" x14ac:dyDescent="0.6">
      <c r="A47" s="252"/>
      <c r="B47" s="335" t="s">
        <v>6</v>
      </c>
      <c r="C47" s="138">
        <f>'Step 3'!F111</f>
        <v>0</v>
      </c>
      <c r="D47" s="135">
        <f>'Step 2'!$E36*(1-C$47)+('Step 2'!$G13*C$47)</f>
        <v>0.9</v>
      </c>
      <c r="E47" s="336">
        <f>'Step 2'!$E37*(1-C$47)+('Step 2'!$G14*C$47)</f>
        <v>0.05</v>
      </c>
      <c r="F47" s="336">
        <f>'Step 2'!$E38*(1-C$47)+('Step 2'!$G15*C$47)</f>
        <v>0.02</v>
      </c>
      <c r="G47" s="337">
        <f>'Step 2'!$E39*(1-C$47)+('Step 2'!$G16*C$47)</f>
        <v>40</v>
      </c>
      <c r="H47" s="337">
        <f>'Step 2'!$E40*(1-C$47)+('Step 2'!$G17*C$47)</f>
        <v>40</v>
      </c>
      <c r="I47" s="337">
        <f>'Step 2'!$E41*(1-C$47)+('Step 2'!$G18*C$47)</f>
        <v>60</v>
      </c>
      <c r="J47" s="337">
        <f>'Step 2'!$E42*(1-C$47)+('Step 2'!$G19*C$47)</f>
        <v>40</v>
      </c>
      <c r="K47" s="207">
        <f>'Step 2'!$E43*(1-C$47)+('Step 2'!$G20*C$47)</f>
        <v>6.36</v>
      </c>
      <c r="L47" s="337">
        <f>'Step 2'!$E44*(1-C$47)+('Step 2'!$G21*C$47)</f>
        <v>9</v>
      </c>
      <c r="M47" s="252"/>
      <c r="N47" s="252"/>
    </row>
    <row r="48" spans="1:14" ht="15.6" x14ac:dyDescent="0.6">
      <c r="A48" s="252"/>
      <c r="B48" s="335" t="s">
        <v>12</v>
      </c>
      <c r="C48" s="138">
        <f>'Step 3'!F112</f>
        <v>0</v>
      </c>
      <c r="D48" s="135">
        <f>'Step 2'!$E36*(1-C$48)+('Step 2'!$G13*C$48)</f>
        <v>0.9</v>
      </c>
      <c r="E48" s="336">
        <f>'Step 2'!$E37*(1-C$48)+('Step 2'!$G14*C$48)</f>
        <v>0.05</v>
      </c>
      <c r="F48" s="336">
        <f>'Step 2'!$E38*(1-C$48)+('Step 2'!$G15*C$48)</f>
        <v>0.02</v>
      </c>
      <c r="G48" s="337">
        <f>'Step 2'!$E39*(1-C$48)+('Step 2'!$G16*C$48)</f>
        <v>40</v>
      </c>
      <c r="H48" s="337">
        <f>'Step 2'!$E40*(1-C$48)+('Step 2'!$G17*C$48)</f>
        <v>40</v>
      </c>
      <c r="I48" s="337">
        <f>'Step 2'!$E41*(1-C$48)+('Step 2'!$G18*C$48)</f>
        <v>60</v>
      </c>
      <c r="J48" s="337">
        <f>'Step 2'!$E42*(1-C$48)+('Step 2'!$G19*C$48)</f>
        <v>40</v>
      </c>
      <c r="K48" s="207">
        <f>'Step 2'!$E43*(1-C$48)+('Step 2'!$G20*C$48)</f>
        <v>6.36</v>
      </c>
      <c r="L48" s="337">
        <f>'Step 2'!$E44*(1-C$48)+('Step 2'!$G21*C$48)</f>
        <v>9</v>
      </c>
      <c r="M48" s="252"/>
      <c r="N48" s="252"/>
    </row>
    <row r="49" spans="1:14" ht="15.6" x14ac:dyDescent="0.6">
      <c r="A49" s="252"/>
      <c r="B49" s="335" t="s">
        <v>13</v>
      </c>
      <c r="C49" s="138">
        <f>'Step 3'!F113</f>
        <v>0</v>
      </c>
      <c r="D49" s="135">
        <f>'Step 2'!$E36*(1-C$49)+('Step 2'!$G13*C$49)</f>
        <v>0.9</v>
      </c>
      <c r="E49" s="336">
        <f>'Step 2'!$E37*(1-C$49)+('Step 2'!$G14*C$49)</f>
        <v>0.05</v>
      </c>
      <c r="F49" s="336">
        <f>'Step 2'!$E38*(1-C$49)+('Step 2'!$G15*C$49)</f>
        <v>0.02</v>
      </c>
      <c r="G49" s="337">
        <f>'Step 2'!$E39*(1-C$49)+('Step 2'!$G16*C$49)</f>
        <v>40</v>
      </c>
      <c r="H49" s="337">
        <f>'Step 2'!$E40*(1-C$49)+('Step 2'!$G17*C$49)</f>
        <v>40</v>
      </c>
      <c r="I49" s="337">
        <f>'Step 2'!$E41*(1-C$49)+('Step 2'!$G18*C$49)</f>
        <v>60</v>
      </c>
      <c r="J49" s="337">
        <f>'Step 2'!$E42*(1-C$49)+('Step 2'!$G19*C$49)</f>
        <v>40</v>
      </c>
      <c r="K49" s="207">
        <f>'Step 2'!$E43*(1-C$49)+('Step 2'!$G20*C$49)</f>
        <v>6.36</v>
      </c>
      <c r="L49" s="337">
        <f>'Step 2'!$E44*(1-C$49)+('Step 2'!$G21*C$49)</f>
        <v>9</v>
      </c>
      <c r="M49" s="252"/>
      <c r="N49" s="252"/>
    </row>
    <row r="50" spans="1:14" ht="15.6" x14ac:dyDescent="0.6">
      <c r="A50" s="252"/>
      <c r="B50" s="335" t="s">
        <v>14</v>
      </c>
      <c r="C50" s="138">
        <f>'Step 3'!F114</f>
        <v>0</v>
      </c>
      <c r="D50" s="135">
        <f>'Step 2'!$E36*(1-C$50)+('Step 2'!$G13*C$50)</f>
        <v>0.9</v>
      </c>
      <c r="E50" s="336">
        <f>'Step 2'!$E37*(1-C$50)+('Step 2'!$G14*C$50)</f>
        <v>0.05</v>
      </c>
      <c r="F50" s="336">
        <f>'Step 2'!$E38*(1-C$50)+('Step 2'!$G15*C$50)</f>
        <v>0.02</v>
      </c>
      <c r="G50" s="337">
        <f>'Step 2'!$E39*(1-C$50)+('Step 2'!$G16*C$50)</f>
        <v>40</v>
      </c>
      <c r="H50" s="337">
        <f>'Step 2'!$E40*(1-C$50)+('Step 2'!$G17*C$50)</f>
        <v>40</v>
      </c>
      <c r="I50" s="337">
        <f>'Step 2'!$E41*(1-C$50)+('Step 2'!$G18*C$50)</f>
        <v>60</v>
      </c>
      <c r="J50" s="337">
        <f>'Step 2'!$E42*(1-C$50)+('Step 2'!$G19*C$50)</f>
        <v>40</v>
      </c>
      <c r="K50" s="207">
        <f>'Step 2'!$E43*(1-C$50)+('Step 2'!$G20*C$50)</f>
        <v>6.36</v>
      </c>
      <c r="L50" s="337">
        <f>'Step 2'!$E44*(1-C$50)+('Step 2'!$G21*C$50)</f>
        <v>9</v>
      </c>
      <c r="M50" s="252"/>
      <c r="N50" s="252"/>
    </row>
    <row r="51" spans="1:14" ht="15.6" x14ac:dyDescent="0.6">
      <c r="A51" s="252"/>
      <c r="B51" s="335" t="s">
        <v>15</v>
      </c>
      <c r="C51" s="138">
        <f>'Step 3'!F115</f>
        <v>0</v>
      </c>
      <c r="D51" s="135">
        <f>'Step 2'!$E36*(1-C$51)+('Step 2'!$G13*C$51)</f>
        <v>0.9</v>
      </c>
      <c r="E51" s="336">
        <f>'Step 2'!$E37*(1-C$51)+('Step 2'!$G14*C$51)</f>
        <v>0.05</v>
      </c>
      <c r="F51" s="336">
        <f>'Step 2'!$E38*(1-C$51)+('Step 2'!$G15*C$51)</f>
        <v>0.02</v>
      </c>
      <c r="G51" s="337">
        <f>'Step 2'!$E39*(1-C$51)+('Step 2'!$G16*C$51)</f>
        <v>40</v>
      </c>
      <c r="H51" s="337">
        <f>'Step 2'!$E40*(1-C$51)+('Step 2'!$G17*C$51)</f>
        <v>40</v>
      </c>
      <c r="I51" s="337">
        <f>'Step 2'!$E41*(1-C$51)+('Step 2'!$G18*C$51)</f>
        <v>60</v>
      </c>
      <c r="J51" s="337">
        <f>'Step 2'!$E42*(1-C$51)+('Step 2'!$G19*C$51)</f>
        <v>40</v>
      </c>
      <c r="K51" s="207">
        <f>'Step 2'!$E43*(1-C$51)+('Step 2'!$G20*C$51)</f>
        <v>6.36</v>
      </c>
      <c r="L51" s="337">
        <f>'Step 2'!$E44*(1-C$51)+('Step 2'!$G21*C$51)</f>
        <v>9</v>
      </c>
      <c r="M51" s="252"/>
      <c r="N51" s="252"/>
    </row>
    <row r="52" spans="1:14" ht="15.6" x14ac:dyDescent="0.6">
      <c r="A52" s="252"/>
      <c r="B52" s="338" t="s">
        <v>16</v>
      </c>
      <c r="C52" s="139">
        <f>'Step 3'!F116</f>
        <v>0</v>
      </c>
      <c r="D52" s="339">
        <f>'Step 2'!$E36*(1-C$52)+('Step 2'!$G13*C$52)</f>
        <v>0.9</v>
      </c>
      <c r="E52" s="340">
        <f>'Step 2'!$E37*(1-C$52)+('Step 2'!$G14*C$52)</f>
        <v>0.05</v>
      </c>
      <c r="F52" s="340">
        <f>'Step 2'!$E38*(1-C$52)+('Step 2'!$G15*C$52)</f>
        <v>0.02</v>
      </c>
      <c r="G52" s="341">
        <f>'Step 2'!$E39*(1-C$52)+('Step 2'!$G16*C$52)</f>
        <v>40</v>
      </c>
      <c r="H52" s="341">
        <f>'Step 2'!$E40*(1-C$52)+('Step 2'!$G17*C$52)</f>
        <v>40</v>
      </c>
      <c r="I52" s="341">
        <f>'Step 2'!$E41*(1-C$52)+('Step 2'!$G18*C$52)</f>
        <v>60</v>
      </c>
      <c r="J52" s="341">
        <f>'Step 2'!$E42*(1-C$52)+('Step 2'!$G19*C$52)</f>
        <v>40</v>
      </c>
      <c r="K52" s="209">
        <f>'Step 2'!$E43*(1-C$52)+('Step 2'!$G20*C$52)</f>
        <v>6.36</v>
      </c>
      <c r="L52" s="341">
        <f>'Step 2'!$E44*(1-C$52)+('Step 2'!$G21*C$52)</f>
        <v>9</v>
      </c>
      <c r="M52" s="252"/>
      <c r="N52" s="252"/>
    </row>
    <row r="53" spans="1:14" ht="15.3" x14ac:dyDescent="0.55000000000000004">
      <c r="A53" s="252"/>
      <c r="B53" s="252"/>
      <c r="C53" s="252"/>
      <c r="D53" s="252"/>
      <c r="E53" s="252"/>
      <c r="F53" s="252"/>
      <c r="G53" s="252"/>
      <c r="H53" s="283"/>
      <c r="I53" s="252"/>
      <c r="J53" s="252"/>
      <c r="K53" s="252"/>
      <c r="L53" s="252"/>
      <c r="M53" s="252"/>
      <c r="N53" s="252"/>
    </row>
    <row r="54" spans="1:14" x14ac:dyDescent="0.45">
      <c r="A54" s="252"/>
      <c r="B54" s="252"/>
      <c r="C54" s="252"/>
      <c r="D54" s="252"/>
      <c r="E54" s="252"/>
      <c r="F54" s="252"/>
      <c r="G54" s="252"/>
      <c r="H54" s="252"/>
      <c r="I54" s="252"/>
      <c r="J54" s="252"/>
      <c r="K54" s="252"/>
      <c r="L54" s="252"/>
      <c r="M54" s="252"/>
      <c r="N54" s="252"/>
    </row>
    <row r="55" spans="1:14" x14ac:dyDescent="0.45">
      <c r="A55" s="252"/>
      <c r="B55" s="252"/>
      <c r="C55" s="252"/>
      <c r="D55" s="252"/>
      <c r="E55" s="252"/>
      <c r="F55" s="252"/>
      <c r="G55" s="252"/>
      <c r="H55" s="252"/>
      <c r="I55" s="252"/>
      <c r="J55" s="252"/>
      <c r="K55" s="252"/>
      <c r="L55" s="252"/>
      <c r="M55" s="252"/>
      <c r="N55" s="252"/>
    </row>
    <row r="56" spans="1:14" ht="18.3" x14ac:dyDescent="0.7">
      <c r="A56" s="252"/>
      <c r="B56" s="253" t="s">
        <v>253</v>
      </c>
      <c r="C56" s="252"/>
      <c r="D56" s="252"/>
      <c r="E56" s="252"/>
      <c r="F56" s="252"/>
      <c r="G56" s="252"/>
      <c r="H56" s="252"/>
      <c r="I56" s="252"/>
      <c r="J56" s="252"/>
      <c r="K56" s="252"/>
      <c r="L56" s="252"/>
      <c r="M56" s="252"/>
      <c r="N56" s="252"/>
    </row>
    <row r="57" spans="1:14" ht="17.7" x14ac:dyDescent="0.6">
      <c r="A57" s="252"/>
      <c r="B57" s="256"/>
      <c r="C57" s="257"/>
      <c r="D57" s="257"/>
      <c r="E57" s="257"/>
      <c r="F57" s="257"/>
      <c r="G57" s="257"/>
      <c r="H57" s="257"/>
      <c r="I57" s="258" t="s">
        <v>46</v>
      </c>
      <c r="J57" s="258" t="s">
        <v>78</v>
      </c>
      <c r="K57" s="258" t="s">
        <v>87</v>
      </c>
      <c r="L57" s="252"/>
      <c r="M57" s="252"/>
      <c r="N57" s="252"/>
    </row>
    <row r="58" spans="1:14" ht="15.6" x14ac:dyDescent="0.6">
      <c r="A58" s="252"/>
      <c r="B58" s="66" t="s">
        <v>18</v>
      </c>
      <c r="C58" s="259"/>
      <c r="D58" s="259"/>
      <c r="E58" s="259"/>
      <c r="F58" s="259"/>
      <c r="G58" s="259"/>
      <c r="H58" s="259"/>
      <c r="I58" s="198" t="s">
        <v>48</v>
      </c>
      <c r="J58" s="198" t="s">
        <v>49</v>
      </c>
      <c r="K58" s="198" t="s">
        <v>50</v>
      </c>
      <c r="L58" s="252"/>
      <c r="M58" s="252"/>
      <c r="N58" s="252"/>
    </row>
    <row r="59" spans="1:14" ht="15.6" x14ac:dyDescent="0.6">
      <c r="A59" s="252"/>
      <c r="B59" s="260" t="s">
        <v>4</v>
      </c>
      <c r="C59" s="259"/>
      <c r="D59" s="261">
        <f>$D$11</f>
        <v>6000</v>
      </c>
      <c r="E59" s="288" t="s">
        <v>212</v>
      </c>
      <c r="F59" s="348">
        <f>K43</f>
        <v>6.2010000000000005</v>
      </c>
      <c r="G59" s="263">
        <f>L43</f>
        <v>9.0562500000000004</v>
      </c>
      <c r="H59" s="264" t="s">
        <v>47</v>
      </c>
      <c r="I59" s="265">
        <f>CEILING(D59*F59*G59,10)</f>
        <v>336950</v>
      </c>
      <c r="J59" s="179">
        <f>I59/$D$5</f>
        <v>56.158333333333331</v>
      </c>
      <c r="K59" s="266">
        <f>I59/$D$4</f>
        <v>336.95</v>
      </c>
      <c r="L59" s="252"/>
      <c r="M59" s="252"/>
      <c r="N59" s="252"/>
    </row>
    <row r="60" spans="1:14" ht="15.6" x14ac:dyDescent="0.6">
      <c r="A60" s="252"/>
      <c r="B60" s="260"/>
      <c r="C60" s="259"/>
      <c r="D60" s="261"/>
      <c r="E60" s="314" t="s">
        <v>214</v>
      </c>
      <c r="F60" s="289"/>
      <c r="G60" s="263"/>
      <c r="H60" s="264"/>
      <c r="I60" s="265"/>
      <c r="J60" s="179"/>
      <c r="K60" s="266"/>
      <c r="L60" s="252"/>
      <c r="M60" s="252"/>
      <c r="N60" s="252"/>
    </row>
    <row r="61" spans="1:14" ht="15.6" x14ac:dyDescent="0.6">
      <c r="A61" s="252"/>
      <c r="B61" s="260" t="s">
        <v>22</v>
      </c>
      <c r="C61" s="259"/>
      <c r="D61" s="261"/>
      <c r="E61" s="327" t="s">
        <v>225</v>
      </c>
      <c r="F61" s="259"/>
      <c r="G61" s="259"/>
      <c r="H61" s="259"/>
      <c r="I61" s="265"/>
      <c r="J61" s="265"/>
      <c r="K61" s="265"/>
      <c r="L61" s="252"/>
      <c r="M61" s="252"/>
      <c r="N61" s="252"/>
    </row>
    <row r="62" spans="1:14" ht="15.6" x14ac:dyDescent="0.6">
      <c r="A62" s="252"/>
      <c r="B62" s="66"/>
      <c r="C62" s="267" t="s">
        <v>19</v>
      </c>
      <c r="D62" s="261">
        <f>D$17+D$11*'Step 3'!F139</f>
        <v>1050</v>
      </c>
      <c r="E62" s="328">
        <f>-(D$17-D62)/D$17</f>
        <v>0.16666666666666666</v>
      </c>
      <c r="F62" s="346">
        <f>G43</f>
        <v>39</v>
      </c>
      <c r="G62" s="259" t="s">
        <v>55</v>
      </c>
      <c r="H62" s="252"/>
      <c r="I62" s="265">
        <f>CEILING(D62*F62,10)</f>
        <v>40950</v>
      </c>
      <c r="J62" s="179">
        <f t="shared" ref="J62:J77" si="9">I62/$D$5</f>
        <v>6.8250000000000002</v>
      </c>
      <c r="K62" s="266">
        <f t="shared" ref="K62:K72" si="10">I62/$D$4</f>
        <v>40.950000000000003</v>
      </c>
      <c r="L62" s="252"/>
      <c r="M62" s="252"/>
      <c r="N62" s="252"/>
    </row>
    <row r="63" spans="1:14" ht="15.6" x14ac:dyDescent="0.6">
      <c r="A63" s="252"/>
      <c r="B63" s="66"/>
      <c r="C63" s="267" t="s">
        <v>215</v>
      </c>
      <c r="D63" s="261">
        <f>D$18+D$12*'Step 3'!F139</f>
        <v>437.5</v>
      </c>
      <c r="E63" s="328">
        <f>-(D$18-D63)/D$18</f>
        <v>0.16666666666666666</v>
      </c>
      <c r="F63" s="346">
        <f>H43</f>
        <v>39</v>
      </c>
      <c r="G63" s="259" t="s">
        <v>55</v>
      </c>
      <c r="H63" s="252"/>
      <c r="I63" s="265">
        <f>CEILING(D63*F63,10)</f>
        <v>17070</v>
      </c>
      <c r="J63" s="179">
        <f t="shared" si="9"/>
        <v>2.8450000000000002</v>
      </c>
      <c r="K63" s="266">
        <f t="shared" si="10"/>
        <v>17.07</v>
      </c>
      <c r="L63" s="252"/>
      <c r="M63" s="252"/>
      <c r="N63" s="252"/>
    </row>
    <row r="64" spans="1:14" ht="15.6" x14ac:dyDescent="0.6">
      <c r="A64" s="252"/>
      <c r="B64" s="66"/>
      <c r="C64" s="267" t="s">
        <v>20</v>
      </c>
      <c r="D64" s="261"/>
      <c r="E64" s="326"/>
      <c r="F64" s="347"/>
      <c r="G64" s="252"/>
      <c r="H64" s="252"/>
      <c r="I64" s="127"/>
      <c r="J64" s="127"/>
      <c r="K64" s="127"/>
      <c r="L64" s="252"/>
      <c r="M64" s="252"/>
      <c r="N64" s="252"/>
    </row>
    <row r="65" spans="1:14" ht="15.6" x14ac:dyDescent="0.6">
      <c r="A65" s="252"/>
      <c r="B65" s="66"/>
      <c r="C65" s="273" t="s">
        <v>216</v>
      </c>
      <c r="D65" s="261">
        <f>D$59*D43</f>
        <v>5265</v>
      </c>
      <c r="E65" s="326"/>
      <c r="F65" s="263"/>
      <c r="G65" s="259"/>
      <c r="H65" s="252"/>
      <c r="I65" s="265"/>
      <c r="J65" s="179"/>
      <c r="K65" s="266"/>
      <c r="L65" s="252"/>
      <c r="M65" s="252"/>
      <c r="N65" s="252"/>
    </row>
    <row r="66" spans="1:14" ht="15.6" x14ac:dyDescent="0.6">
      <c r="A66" s="252"/>
      <c r="B66" s="66"/>
      <c r="C66" s="273" t="s">
        <v>98</v>
      </c>
      <c r="D66" s="261">
        <f>-D$11*E43</f>
        <v>-303.75</v>
      </c>
      <c r="E66" s="326"/>
      <c r="F66" s="263"/>
      <c r="G66" s="259"/>
      <c r="H66" s="252"/>
      <c r="I66" s="265"/>
      <c r="J66" s="179"/>
      <c r="K66" s="266"/>
      <c r="L66" s="252"/>
      <c r="M66" s="252"/>
      <c r="N66" s="252"/>
    </row>
    <row r="67" spans="1:14" ht="15.6" x14ac:dyDescent="0.6">
      <c r="A67" s="252"/>
      <c r="B67" s="66"/>
      <c r="C67" s="273" t="s">
        <v>222</v>
      </c>
      <c r="D67" s="261">
        <f>-D62</f>
        <v>-1050</v>
      </c>
      <c r="E67" s="326"/>
      <c r="F67" s="263"/>
      <c r="G67" s="259"/>
      <c r="H67" s="252"/>
      <c r="I67" s="265"/>
      <c r="J67" s="179"/>
      <c r="K67" s="266"/>
      <c r="L67" s="252"/>
      <c r="M67" s="252"/>
      <c r="N67" s="252"/>
    </row>
    <row r="68" spans="1:14" ht="15.6" x14ac:dyDescent="0.6">
      <c r="A68" s="252"/>
      <c r="B68" s="66"/>
      <c r="C68" s="273" t="s">
        <v>210</v>
      </c>
      <c r="D68" s="261">
        <f>-D$12*F43</f>
        <v>-50.625</v>
      </c>
      <c r="E68" s="326"/>
      <c r="F68" s="263"/>
      <c r="G68" s="259"/>
      <c r="H68" s="252"/>
      <c r="I68" s="265"/>
      <c r="J68" s="179"/>
      <c r="K68" s="266"/>
      <c r="L68" s="252"/>
      <c r="M68" s="252"/>
      <c r="N68" s="252"/>
    </row>
    <row r="69" spans="1:14" ht="15.6" x14ac:dyDescent="0.6">
      <c r="A69" s="252"/>
      <c r="B69" s="66"/>
      <c r="C69" s="273" t="s">
        <v>217</v>
      </c>
      <c r="D69" s="285">
        <f>-D63</f>
        <v>-437.5</v>
      </c>
      <c r="E69" s="326"/>
      <c r="F69" s="263"/>
      <c r="G69" s="259"/>
      <c r="H69" s="252"/>
      <c r="I69" s="265"/>
      <c r="J69" s="179"/>
      <c r="K69" s="266"/>
      <c r="L69" s="252"/>
      <c r="M69" s="252"/>
      <c r="N69" s="252"/>
    </row>
    <row r="70" spans="1:14" ht="15.6" x14ac:dyDescent="0.6">
      <c r="A70" s="252"/>
      <c r="B70" s="66"/>
      <c r="C70" s="267"/>
      <c r="D70" s="261">
        <f>SUM(D65:D69)</f>
        <v>3423.125</v>
      </c>
      <c r="E70" s="329">
        <f>-(D$19-D70)/D$19</f>
        <v>-9.3211920529801318E-2</v>
      </c>
      <c r="F70" s="263">
        <f>I43</f>
        <v>58.5</v>
      </c>
      <c r="G70" s="259" t="s">
        <v>55</v>
      </c>
      <c r="H70" s="252"/>
      <c r="I70" s="265">
        <f>D70*F70</f>
        <v>200252.8125</v>
      </c>
      <c r="J70" s="179">
        <f>I70/$D$5</f>
        <v>33.375468750000003</v>
      </c>
      <c r="K70" s="266">
        <f>I70/$D$4</f>
        <v>200.2528125</v>
      </c>
      <c r="L70" s="252"/>
      <c r="M70" s="252"/>
      <c r="N70" s="252"/>
    </row>
    <row r="71" spans="1:14" ht="15.6" x14ac:dyDescent="0.6">
      <c r="A71" s="252"/>
      <c r="B71" s="66"/>
      <c r="C71" s="267" t="s">
        <v>21</v>
      </c>
      <c r="D71" s="261">
        <f>D$25</f>
        <v>12</v>
      </c>
      <c r="E71" s="268" t="s">
        <v>57</v>
      </c>
      <c r="F71" s="263">
        <f>J43</f>
        <v>39</v>
      </c>
      <c r="G71" s="259" t="s">
        <v>55</v>
      </c>
      <c r="H71" s="252"/>
      <c r="I71" s="270">
        <f>CEILING(D71*F71,10)</f>
        <v>470</v>
      </c>
      <c r="J71" s="271">
        <f t="shared" si="9"/>
        <v>7.8333333333333338E-2</v>
      </c>
      <c r="K71" s="272">
        <f t="shared" si="10"/>
        <v>0.47</v>
      </c>
      <c r="L71" s="252"/>
      <c r="M71" s="252"/>
      <c r="N71" s="252"/>
    </row>
    <row r="72" spans="1:14" ht="15.6" x14ac:dyDescent="0.6">
      <c r="A72" s="252"/>
      <c r="B72" s="66"/>
      <c r="C72" s="267"/>
      <c r="D72" s="267"/>
      <c r="E72" s="268"/>
      <c r="F72" s="268"/>
      <c r="G72" s="259"/>
      <c r="H72" s="259"/>
      <c r="I72" s="265">
        <f>SUM(I62:I71)</f>
        <v>258742.8125</v>
      </c>
      <c r="J72" s="179">
        <f>I72/$D$5</f>
        <v>43.123802083333331</v>
      </c>
      <c r="K72" s="266">
        <f t="shared" si="10"/>
        <v>258.74281250000001</v>
      </c>
      <c r="L72" s="252"/>
      <c r="M72" s="252"/>
      <c r="N72" s="252"/>
    </row>
    <row r="73" spans="1:14" ht="15.6" x14ac:dyDescent="0.6">
      <c r="A73" s="252"/>
      <c r="B73" s="260" t="s">
        <v>28</v>
      </c>
      <c r="C73" s="273"/>
      <c r="D73" s="273"/>
      <c r="E73" s="268"/>
      <c r="F73" s="268"/>
      <c r="G73" s="259"/>
      <c r="H73" s="259"/>
      <c r="I73" s="265"/>
      <c r="J73" s="265"/>
      <c r="K73" s="265"/>
      <c r="L73" s="252"/>
      <c r="M73" s="252"/>
      <c r="N73" s="252"/>
    </row>
    <row r="74" spans="1:14" ht="15.6" x14ac:dyDescent="0.6">
      <c r="A74" s="252"/>
      <c r="B74" s="274"/>
      <c r="C74" s="267" t="s">
        <v>1</v>
      </c>
      <c r="D74" s="261" t="s">
        <v>99</v>
      </c>
      <c r="E74" s="268"/>
      <c r="F74" s="268"/>
      <c r="G74" s="259"/>
      <c r="H74" s="259"/>
      <c r="I74" s="266">
        <v>0</v>
      </c>
      <c r="J74" s="179">
        <f t="shared" si="9"/>
        <v>0</v>
      </c>
      <c r="K74" s="266">
        <f t="shared" ref="K74:K77" si="11">I74/$D$4</f>
        <v>0</v>
      </c>
      <c r="L74" s="252"/>
      <c r="M74" s="252"/>
      <c r="N74" s="252"/>
    </row>
    <row r="75" spans="1:14" ht="15.6" x14ac:dyDescent="0.6">
      <c r="A75" s="252"/>
      <c r="B75" s="274"/>
      <c r="C75" s="267" t="s">
        <v>133</v>
      </c>
      <c r="D75" s="261" t="s">
        <v>134</v>
      </c>
      <c r="E75" s="268"/>
      <c r="F75" s="268"/>
      <c r="G75" s="259"/>
      <c r="H75" s="259"/>
      <c r="I75" s="266">
        <v>0</v>
      </c>
      <c r="J75" s="179">
        <f t="shared" si="9"/>
        <v>0</v>
      </c>
      <c r="K75" s="266">
        <f t="shared" si="11"/>
        <v>0</v>
      </c>
      <c r="L75" s="252"/>
      <c r="M75" s="252"/>
      <c r="N75" s="252"/>
    </row>
    <row r="76" spans="1:14" ht="15.6" x14ac:dyDescent="0.6">
      <c r="A76" s="252"/>
      <c r="B76" s="274"/>
      <c r="C76" s="267" t="s">
        <v>2</v>
      </c>
      <c r="D76" s="261">
        <f>D$25</f>
        <v>12</v>
      </c>
      <c r="E76" s="268" t="s">
        <v>57</v>
      </c>
      <c r="F76" s="269">
        <f>F$25</f>
        <v>800</v>
      </c>
      <c r="G76" s="259" t="s">
        <v>58</v>
      </c>
      <c r="H76" s="259"/>
      <c r="I76" s="272">
        <f>CEILING(-D76*F76,10)</f>
        <v>-9600</v>
      </c>
      <c r="J76" s="271">
        <f t="shared" si="9"/>
        <v>-1.6</v>
      </c>
      <c r="K76" s="272">
        <f t="shared" si="11"/>
        <v>-9.6</v>
      </c>
      <c r="L76" s="252"/>
      <c r="M76" s="252"/>
      <c r="N76" s="252"/>
    </row>
    <row r="77" spans="1:14" ht="15.6" x14ac:dyDescent="0.6">
      <c r="A77" s="252"/>
      <c r="B77" s="66"/>
      <c r="C77" s="273"/>
      <c r="D77" s="273"/>
      <c r="E77" s="273"/>
      <c r="F77" s="273"/>
      <c r="G77" s="273"/>
      <c r="H77" s="273"/>
      <c r="I77" s="266">
        <f>SUM(I74:I76)</f>
        <v>-9600</v>
      </c>
      <c r="J77" s="179">
        <f t="shared" si="9"/>
        <v>-1.6</v>
      </c>
      <c r="K77" s="266">
        <f t="shared" si="11"/>
        <v>-9.6</v>
      </c>
      <c r="L77" s="252"/>
      <c r="M77" s="252"/>
      <c r="N77" s="252"/>
    </row>
    <row r="78" spans="1:14" ht="15.6" x14ac:dyDescent="0.6">
      <c r="A78" s="252"/>
      <c r="B78" s="275" t="s">
        <v>0</v>
      </c>
      <c r="C78" s="257"/>
      <c r="D78" s="257"/>
      <c r="E78" s="257"/>
      <c r="F78" s="257"/>
      <c r="G78" s="257"/>
      <c r="H78" s="257"/>
      <c r="I78" s="276">
        <f>I59+I72+I77</f>
        <v>586092.8125</v>
      </c>
      <c r="J78" s="277">
        <f>J59+J72+J77</f>
        <v>97.682135416666668</v>
      </c>
      <c r="K78" s="278">
        <f>K59+K72+K77</f>
        <v>586.09281249999992</v>
      </c>
      <c r="L78" s="252"/>
      <c r="M78" s="252"/>
      <c r="N78" s="252"/>
    </row>
    <row r="79" spans="1:14" ht="15.6" x14ac:dyDescent="0.6">
      <c r="A79" s="252"/>
      <c r="B79" s="66" t="s">
        <v>23</v>
      </c>
      <c r="C79" s="259"/>
      <c r="D79" s="259"/>
      <c r="E79" s="259"/>
      <c r="F79" s="259"/>
      <c r="G79" s="259"/>
      <c r="H79" s="259"/>
      <c r="I79" s="198" t="s">
        <v>48</v>
      </c>
      <c r="J79" s="198" t="s">
        <v>49</v>
      </c>
      <c r="K79" s="198" t="s">
        <v>50</v>
      </c>
      <c r="L79" s="252"/>
      <c r="M79" s="252"/>
      <c r="N79" s="252"/>
    </row>
    <row r="80" spans="1:14" ht="15.6" x14ac:dyDescent="0.6">
      <c r="A80" s="252"/>
      <c r="B80" s="260" t="s">
        <v>3</v>
      </c>
      <c r="C80" s="259"/>
      <c r="L80" s="252"/>
      <c r="M80" s="252"/>
      <c r="N80" s="252"/>
    </row>
    <row r="81" spans="1:14" ht="15.6" x14ac:dyDescent="0.6">
      <c r="A81" s="252"/>
      <c r="B81" s="260"/>
      <c r="C81" s="259" t="s">
        <v>224</v>
      </c>
      <c r="D81" s="261">
        <f>D$15</f>
        <v>10185</v>
      </c>
      <c r="E81" s="262" t="s">
        <v>57</v>
      </c>
      <c r="F81" s="263">
        <f>F$30</f>
        <v>3.5</v>
      </c>
      <c r="G81" s="264" t="s">
        <v>204</v>
      </c>
      <c r="H81" s="259"/>
      <c r="I81" s="265">
        <f>CEILING(D81*F81,10)</f>
        <v>35650</v>
      </c>
      <c r="J81" s="179">
        <f>I81/$D$5</f>
        <v>5.9416666666666664</v>
      </c>
      <c r="K81" s="266">
        <f>I81/$D$4</f>
        <v>35.65</v>
      </c>
      <c r="L81" s="252"/>
      <c r="M81" s="252"/>
      <c r="N81" s="252"/>
    </row>
    <row r="82" spans="1:14" ht="15.6" x14ac:dyDescent="0.6">
      <c r="A82" s="252"/>
      <c r="B82" s="260"/>
      <c r="C82" s="259" t="s">
        <v>135</v>
      </c>
      <c r="D82" s="261">
        <f>D65</f>
        <v>5265</v>
      </c>
      <c r="E82" s="262" t="s">
        <v>57</v>
      </c>
      <c r="F82" s="263">
        <f>F$31</f>
        <v>3.5</v>
      </c>
      <c r="G82" s="264" t="s">
        <v>204</v>
      </c>
      <c r="H82" s="259"/>
      <c r="I82" s="265">
        <f>CEILING(D82*F82,10)</f>
        <v>18430</v>
      </c>
      <c r="J82" s="179">
        <f>I82/$D$5</f>
        <v>3.0716666666666668</v>
      </c>
      <c r="K82" s="266">
        <f>I82/$D$4</f>
        <v>18.43</v>
      </c>
      <c r="L82" s="252"/>
      <c r="M82" s="252"/>
      <c r="N82" s="252"/>
    </row>
    <row r="83" spans="1:14" ht="15.6" x14ac:dyDescent="0.6">
      <c r="A83" s="252"/>
      <c r="B83" s="260" t="s">
        <v>97</v>
      </c>
      <c r="C83" s="259"/>
      <c r="D83" s="261">
        <f>D81</f>
        <v>10185</v>
      </c>
      <c r="E83" s="262" t="s">
        <v>57</v>
      </c>
      <c r="F83" s="263">
        <f>I83/D83</f>
        <v>7.3480608738340694</v>
      </c>
      <c r="G83" s="264" t="s">
        <v>204</v>
      </c>
      <c r="H83" s="259"/>
      <c r="I83" s="265">
        <f>'Step 3'!F86</f>
        <v>74840</v>
      </c>
      <c r="J83" s="179">
        <f t="shared" ref="J83:J87" si="12">I83/$D$5</f>
        <v>12.473333333333333</v>
      </c>
      <c r="K83" s="266">
        <f t="shared" ref="K83:K87" si="13">I83/$D$4</f>
        <v>74.84</v>
      </c>
      <c r="L83" s="252"/>
      <c r="M83" s="252"/>
      <c r="N83" s="252"/>
    </row>
    <row r="84" spans="1:14" ht="15.6" x14ac:dyDescent="0.6">
      <c r="A84" s="252"/>
      <c r="B84" s="260" t="s">
        <v>24</v>
      </c>
      <c r="C84" s="259"/>
      <c r="D84" s="261">
        <f>D81</f>
        <v>10185</v>
      </c>
      <c r="E84" s="262" t="str">
        <f>E81</f>
        <v>hd @</v>
      </c>
      <c r="F84" s="263">
        <f>F$33</f>
        <v>6.5</v>
      </c>
      <c r="G84" s="264" t="s">
        <v>204</v>
      </c>
      <c r="H84" s="259"/>
      <c r="I84" s="265">
        <f>CEILING(D84*F84,10)</f>
        <v>66210</v>
      </c>
      <c r="J84" s="179">
        <f t="shared" si="12"/>
        <v>11.035</v>
      </c>
      <c r="K84" s="266">
        <f t="shared" si="13"/>
        <v>66.209999999999994</v>
      </c>
      <c r="L84" s="252"/>
      <c r="M84" s="252"/>
      <c r="N84" s="252"/>
    </row>
    <row r="85" spans="1:14" ht="15.6" x14ac:dyDescent="0.6">
      <c r="A85" s="252"/>
      <c r="B85" s="260" t="s">
        <v>25</v>
      </c>
      <c r="C85" s="259"/>
      <c r="D85" s="279">
        <f>D59*F59/170</f>
        <v>218.85882352941175</v>
      </c>
      <c r="E85" s="262" t="s">
        <v>59</v>
      </c>
      <c r="F85" s="263">
        <f>F$34</f>
        <v>20</v>
      </c>
      <c r="G85" s="264" t="s">
        <v>60</v>
      </c>
      <c r="H85" s="259"/>
      <c r="I85" s="265">
        <f>CEILING(D85*F85,10)</f>
        <v>4380</v>
      </c>
      <c r="J85" s="179">
        <f t="shared" si="12"/>
        <v>0.73</v>
      </c>
      <c r="K85" s="266">
        <f t="shared" si="13"/>
        <v>4.38</v>
      </c>
      <c r="L85" s="252"/>
      <c r="M85" s="252"/>
      <c r="N85" s="252"/>
    </row>
    <row r="86" spans="1:14" ht="15.6" x14ac:dyDescent="0.6">
      <c r="A86" s="252"/>
      <c r="B86" s="260" t="s">
        <v>26</v>
      </c>
      <c r="C86" s="259"/>
      <c r="D86" s="259"/>
      <c r="E86" s="259"/>
      <c r="F86" s="263">
        <f>F$35</f>
        <v>15</v>
      </c>
      <c r="G86" s="264" t="s">
        <v>60</v>
      </c>
      <c r="H86" s="259"/>
      <c r="I86" s="265">
        <f>CEILING(D85*F86,10)</f>
        <v>3290</v>
      </c>
      <c r="J86" s="179">
        <f t="shared" si="12"/>
        <v>0.54833333333333334</v>
      </c>
      <c r="K86" s="266">
        <f t="shared" si="13"/>
        <v>3.29</v>
      </c>
      <c r="L86" s="252"/>
      <c r="M86" s="252"/>
      <c r="N86" s="252"/>
    </row>
    <row r="87" spans="1:14" ht="15.6" x14ac:dyDescent="0.6">
      <c r="A87" s="252"/>
      <c r="B87" s="260" t="s">
        <v>27</v>
      </c>
      <c r="C87" s="259"/>
      <c r="D87" s="261">
        <f>D62+D63+D70+D71+D76</f>
        <v>4934.625</v>
      </c>
      <c r="E87" s="268" t="s">
        <v>57</v>
      </c>
      <c r="F87" s="263">
        <f>F$36</f>
        <v>2</v>
      </c>
      <c r="G87" s="264" t="s">
        <v>61</v>
      </c>
      <c r="H87" s="259"/>
      <c r="I87" s="265">
        <f>CEILING(D87*F87,10)</f>
        <v>9870</v>
      </c>
      <c r="J87" s="179">
        <f t="shared" si="12"/>
        <v>1.645</v>
      </c>
      <c r="K87" s="266">
        <f t="shared" si="13"/>
        <v>9.8699999999999992</v>
      </c>
      <c r="L87" s="252"/>
      <c r="M87" s="252"/>
      <c r="N87" s="252"/>
    </row>
    <row r="88" spans="1:14" ht="15.6" x14ac:dyDescent="0.6">
      <c r="A88" s="252"/>
      <c r="B88" s="275" t="s">
        <v>41</v>
      </c>
      <c r="C88" s="257"/>
      <c r="D88" s="257"/>
      <c r="E88" s="280"/>
      <c r="F88" s="257"/>
      <c r="G88" s="257"/>
      <c r="H88" s="257"/>
      <c r="I88" s="276">
        <f>SUM(I81:I87)</f>
        <v>212670</v>
      </c>
      <c r="J88" s="277">
        <f>SUM(J81:J87)</f>
        <v>35.444999999999993</v>
      </c>
      <c r="K88" s="278">
        <f>SUM(K81:K87)</f>
        <v>212.67</v>
      </c>
      <c r="L88" s="252"/>
      <c r="M88" s="252"/>
      <c r="N88" s="252"/>
    </row>
    <row r="89" spans="1:14" ht="15.6" x14ac:dyDescent="0.6">
      <c r="A89" s="252"/>
      <c r="B89" s="281" t="s">
        <v>62</v>
      </c>
      <c r="C89" s="257"/>
      <c r="D89" s="257"/>
      <c r="E89" s="280"/>
      <c r="F89" s="257"/>
      <c r="G89" s="257"/>
      <c r="H89" s="257"/>
      <c r="I89" s="276">
        <f>I78-I88</f>
        <v>373422.8125</v>
      </c>
      <c r="J89" s="277">
        <f>J78-J88</f>
        <v>62.237135416666675</v>
      </c>
      <c r="K89" s="278">
        <f>K78-K88</f>
        <v>373.42281249999996</v>
      </c>
      <c r="L89" s="252"/>
      <c r="M89" s="252"/>
      <c r="N89" s="252"/>
    </row>
    <row r="90" spans="1:14" ht="15.6" x14ac:dyDescent="0.6">
      <c r="A90" s="252"/>
      <c r="B90" s="282"/>
      <c r="C90" s="255"/>
      <c r="D90" s="255"/>
      <c r="E90" s="255"/>
      <c r="F90" s="255"/>
      <c r="G90" s="255"/>
      <c r="H90" s="255"/>
      <c r="I90" s="255"/>
      <c r="J90" s="255"/>
      <c r="K90" s="255"/>
      <c r="L90" s="252"/>
      <c r="M90" s="252"/>
      <c r="N90" s="252"/>
    </row>
    <row r="91" spans="1:14" ht="18.3" x14ac:dyDescent="0.7">
      <c r="A91" s="252"/>
      <c r="B91" s="253" t="s">
        <v>255</v>
      </c>
      <c r="C91" s="252"/>
      <c r="D91" s="252"/>
      <c r="E91" s="252"/>
      <c r="F91" s="252"/>
      <c r="G91" s="252"/>
      <c r="H91" s="252"/>
      <c r="I91" s="252"/>
      <c r="J91" s="252"/>
      <c r="K91" s="252"/>
      <c r="L91" s="252"/>
      <c r="M91" s="252"/>
      <c r="N91" s="252"/>
    </row>
    <row r="92" spans="1:14" ht="17.7" x14ac:dyDescent="0.6">
      <c r="A92" s="252"/>
      <c r="B92" s="256"/>
      <c r="C92" s="257"/>
      <c r="D92" s="257"/>
      <c r="E92" s="257"/>
      <c r="F92" s="257"/>
      <c r="G92" s="257"/>
      <c r="H92" s="257"/>
      <c r="I92" s="258" t="s">
        <v>46</v>
      </c>
      <c r="J92" s="258" t="s">
        <v>78</v>
      </c>
      <c r="K92" s="258" t="s">
        <v>87</v>
      </c>
      <c r="L92" s="252"/>
      <c r="M92" s="252"/>
      <c r="N92" s="252"/>
    </row>
    <row r="93" spans="1:14" ht="15.6" x14ac:dyDescent="0.6">
      <c r="A93" s="252"/>
      <c r="B93" s="66" t="s">
        <v>18</v>
      </c>
      <c r="C93" s="259"/>
      <c r="D93" s="259"/>
      <c r="E93" s="259"/>
      <c r="F93" s="259"/>
      <c r="G93" s="259"/>
      <c r="H93" s="259"/>
      <c r="I93" s="198" t="s">
        <v>48</v>
      </c>
      <c r="J93" s="198" t="s">
        <v>49</v>
      </c>
      <c r="K93" s="198" t="s">
        <v>50</v>
      </c>
      <c r="L93" s="252"/>
      <c r="M93" s="252"/>
      <c r="N93" s="252"/>
    </row>
    <row r="94" spans="1:14" ht="15.6" x14ac:dyDescent="0.6">
      <c r="A94" s="252"/>
      <c r="B94" s="260" t="s">
        <v>4</v>
      </c>
      <c r="C94" s="259"/>
      <c r="D94" s="261">
        <f>$D$11</f>
        <v>6000</v>
      </c>
      <c r="E94" s="288" t="s">
        <v>212</v>
      </c>
      <c r="F94" s="348">
        <f>K44</f>
        <v>6.2645999999999997</v>
      </c>
      <c r="G94" s="263">
        <f>L44</f>
        <v>9.0337499999999995</v>
      </c>
      <c r="H94" s="264" t="s">
        <v>47</v>
      </c>
      <c r="I94" s="265">
        <f>CEILING(D94*F94*G94,10)</f>
        <v>339560</v>
      </c>
      <c r="J94" s="179">
        <f>I94/$D$5</f>
        <v>56.593333333333334</v>
      </c>
      <c r="K94" s="266">
        <f>I94/$D$4</f>
        <v>339.56</v>
      </c>
      <c r="L94" s="252"/>
      <c r="M94" s="252"/>
      <c r="N94" s="252"/>
    </row>
    <row r="95" spans="1:14" ht="15.6" x14ac:dyDescent="0.6">
      <c r="A95" s="252"/>
      <c r="B95" s="260"/>
      <c r="C95" s="259"/>
      <c r="D95" s="261"/>
      <c r="E95" s="314" t="s">
        <v>214</v>
      </c>
      <c r="F95" s="289"/>
      <c r="G95" s="263"/>
      <c r="H95" s="264"/>
      <c r="I95" s="265"/>
      <c r="J95" s="179"/>
      <c r="K95" s="266"/>
      <c r="L95" s="252"/>
      <c r="M95" s="252"/>
      <c r="N95" s="252"/>
    </row>
    <row r="96" spans="1:14" ht="15.6" x14ac:dyDescent="0.6">
      <c r="A96" s="252"/>
      <c r="B96" s="260" t="s">
        <v>22</v>
      </c>
      <c r="C96" s="259"/>
      <c r="D96" s="261"/>
      <c r="E96" s="327" t="s">
        <v>225</v>
      </c>
      <c r="F96" s="259"/>
      <c r="G96" s="259"/>
      <c r="H96" s="259"/>
      <c r="I96" s="265"/>
      <c r="J96" s="265"/>
      <c r="K96" s="265"/>
      <c r="L96" s="252"/>
      <c r="M96" s="252"/>
      <c r="N96" s="252"/>
    </row>
    <row r="97" spans="1:14" ht="15.6" x14ac:dyDescent="0.6">
      <c r="A97" s="252"/>
      <c r="B97" s="66"/>
      <c r="C97" s="267" t="s">
        <v>19</v>
      </c>
      <c r="D97" s="261">
        <f>D$17+D$11*'Step 3'!F140</f>
        <v>990</v>
      </c>
      <c r="E97" s="328">
        <f>-(D$17-D97)/D$17</f>
        <v>0.1</v>
      </c>
      <c r="F97" s="346">
        <f>G44</f>
        <v>39.4</v>
      </c>
      <c r="G97" s="259" t="s">
        <v>55</v>
      </c>
      <c r="H97" s="252"/>
      <c r="I97" s="265">
        <f>CEILING(D97*F97,10)</f>
        <v>39010</v>
      </c>
      <c r="J97" s="179">
        <f t="shared" ref="J97:J98" si="14">I97/$D$5</f>
        <v>6.5016666666666669</v>
      </c>
      <c r="K97" s="266">
        <f t="shared" ref="K97:K98" si="15">I97/$D$4</f>
        <v>39.01</v>
      </c>
      <c r="L97" s="252"/>
      <c r="M97" s="252"/>
      <c r="N97" s="252"/>
    </row>
    <row r="98" spans="1:14" ht="15.6" x14ac:dyDescent="0.6">
      <c r="A98" s="252"/>
      <c r="B98" s="66"/>
      <c r="C98" s="267" t="s">
        <v>215</v>
      </c>
      <c r="D98" s="261">
        <f>D$18+D$12*'Step 3'!F140</f>
        <v>412.5</v>
      </c>
      <c r="E98" s="328">
        <f>-(D$18-D98)/D$18</f>
        <v>0.1</v>
      </c>
      <c r="F98" s="346">
        <f>H44</f>
        <v>39.4</v>
      </c>
      <c r="G98" s="259" t="s">
        <v>55</v>
      </c>
      <c r="H98" s="252"/>
      <c r="I98" s="265">
        <f>CEILING(D98*F98,10)</f>
        <v>16260</v>
      </c>
      <c r="J98" s="179">
        <f t="shared" si="14"/>
        <v>2.71</v>
      </c>
      <c r="K98" s="266">
        <f t="shared" si="15"/>
        <v>16.260000000000002</v>
      </c>
      <c r="L98" s="252"/>
      <c r="M98" s="252"/>
      <c r="N98" s="252"/>
    </row>
    <row r="99" spans="1:14" ht="15.6" x14ac:dyDescent="0.6">
      <c r="A99" s="252"/>
      <c r="B99" s="66"/>
      <c r="C99" s="267" t="s">
        <v>20</v>
      </c>
      <c r="D99" s="261"/>
      <c r="E99" s="326"/>
      <c r="F99" s="252"/>
      <c r="G99" s="252"/>
      <c r="H99" s="252"/>
      <c r="I99" s="127"/>
      <c r="J99" s="127"/>
      <c r="K99" s="127"/>
      <c r="L99" s="252"/>
      <c r="M99" s="252"/>
      <c r="N99" s="252"/>
    </row>
    <row r="100" spans="1:14" ht="15.6" x14ac:dyDescent="0.6">
      <c r="A100" s="252"/>
      <c r="B100" s="66"/>
      <c r="C100" s="273" t="s">
        <v>216</v>
      </c>
      <c r="D100" s="261">
        <f>D$59*D44</f>
        <v>5319</v>
      </c>
      <c r="E100" s="326"/>
      <c r="F100" s="269"/>
      <c r="G100" s="259"/>
      <c r="H100" s="252"/>
      <c r="I100" s="265"/>
      <c r="J100" s="179"/>
      <c r="K100" s="266"/>
      <c r="L100" s="252"/>
      <c r="M100" s="252"/>
      <c r="N100" s="252"/>
    </row>
    <row r="101" spans="1:14" ht="15.6" x14ac:dyDescent="0.6">
      <c r="A101" s="252"/>
      <c r="B101" s="66"/>
      <c r="C101" s="273" t="s">
        <v>98</v>
      </c>
      <c r="D101" s="261">
        <f>-D$11*E44</f>
        <v>-302.25</v>
      </c>
      <c r="E101" s="326"/>
      <c r="F101" s="269"/>
      <c r="G101" s="259"/>
      <c r="H101" s="252"/>
      <c r="I101" s="265"/>
      <c r="J101" s="179"/>
      <c r="K101" s="266"/>
      <c r="L101" s="252"/>
      <c r="M101" s="252"/>
      <c r="N101" s="252"/>
    </row>
    <row r="102" spans="1:14" ht="15.6" x14ac:dyDescent="0.6">
      <c r="A102" s="252"/>
      <c r="B102" s="66"/>
      <c r="C102" s="273" t="s">
        <v>222</v>
      </c>
      <c r="D102" s="261">
        <f>-D97</f>
        <v>-990</v>
      </c>
      <c r="E102" s="326"/>
      <c r="F102" s="269"/>
      <c r="G102" s="259"/>
      <c r="H102" s="252"/>
      <c r="I102" s="265"/>
      <c r="J102" s="179"/>
      <c r="K102" s="266"/>
      <c r="L102" s="252"/>
      <c r="M102" s="252"/>
      <c r="N102" s="252"/>
    </row>
    <row r="103" spans="1:14" ht="15.6" x14ac:dyDescent="0.6">
      <c r="A103" s="252"/>
      <c r="B103" s="66"/>
      <c r="C103" s="273" t="s">
        <v>210</v>
      </c>
      <c r="D103" s="261">
        <f>-D$12*F44</f>
        <v>-50.375</v>
      </c>
      <c r="E103" s="326"/>
      <c r="F103" s="269"/>
      <c r="G103" s="259"/>
      <c r="H103" s="252"/>
      <c r="I103" s="265"/>
      <c r="J103" s="179"/>
      <c r="K103" s="266"/>
      <c r="L103" s="252"/>
      <c r="M103" s="252"/>
      <c r="N103" s="252"/>
    </row>
    <row r="104" spans="1:14" ht="15.6" x14ac:dyDescent="0.6">
      <c r="A104" s="252"/>
      <c r="B104" s="66"/>
      <c r="C104" s="273" t="s">
        <v>217</v>
      </c>
      <c r="D104" s="285">
        <f>-D98</f>
        <v>-412.5</v>
      </c>
      <c r="E104" s="326"/>
      <c r="F104" s="269"/>
      <c r="G104" s="259"/>
      <c r="H104" s="252"/>
      <c r="I104" s="265"/>
      <c r="J104" s="179"/>
      <c r="K104" s="266"/>
      <c r="L104" s="252"/>
      <c r="M104" s="252"/>
      <c r="N104" s="252"/>
    </row>
    <row r="105" spans="1:14" ht="15.6" x14ac:dyDescent="0.6">
      <c r="A105" s="252"/>
      <c r="B105" s="66"/>
      <c r="C105" s="267"/>
      <c r="D105" s="261">
        <f>SUM(D100:D104)</f>
        <v>3563.875</v>
      </c>
      <c r="E105" s="329">
        <f>-(D$19-D105)/D$19</f>
        <v>-5.5927152317880792E-2</v>
      </c>
      <c r="F105" s="263">
        <f>I44</f>
        <v>59.1</v>
      </c>
      <c r="G105" s="259" t="s">
        <v>55</v>
      </c>
      <c r="H105" s="252"/>
      <c r="I105" s="265">
        <f>D105*F105</f>
        <v>210625.01250000001</v>
      </c>
      <c r="J105" s="179">
        <f>I105/$D$5</f>
        <v>35.104168749999999</v>
      </c>
      <c r="K105" s="266">
        <f>I105/$D$4</f>
        <v>210.62501250000003</v>
      </c>
      <c r="L105" s="252"/>
      <c r="M105" s="252"/>
      <c r="N105" s="252"/>
    </row>
    <row r="106" spans="1:14" ht="15.6" x14ac:dyDescent="0.6">
      <c r="A106" s="252"/>
      <c r="B106" s="66"/>
      <c r="C106" s="267" t="s">
        <v>21</v>
      </c>
      <c r="D106" s="261">
        <f>D$25</f>
        <v>12</v>
      </c>
      <c r="E106" s="268" t="s">
        <v>57</v>
      </c>
      <c r="F106" s="263">
        <f>J44</f>
        <v>39.4</v>
      </c>
      <c r="G106" s="259" t="s">
        <v>55</v>
      </c>
      <c r="H106" s="252"/>
      <c r="I106" s="270">
        <f>CEILING(D106*F106,10)</f>
        <v>480</v>
      </c>
      <c r="J106" s="271">
        <f t="shared" ref="J106" si="16">I106/$D$5</f>
        <v>0.08</v>
      </c>
      <c r="K106" s="272">
        <f t="shared" ref="K106:K107" si="17">I106/$D$4</f>
        <v>0.48</v>
      </c>
      <c r="L106" s="252"/>
      <c r="M106" s="252"/>
      <c r="N106" s="252"/>
    </row>
    <row r="107" spans="1:14" ht="15.6" x14ac:dyDescent="0.6">
      <c r="A107" s="252"/>
      <c r="B107" s="66"/>
      <c r="C107" s="267"/>
      <c r="D107" s="267"/>
      <c r="E107" s="268"/>
      <c r="F107" s="268"/>
      <c r="G107" s="259"/>
      <c r="H107" s="259"/>
      <c r="I107" s="265">
        <f>SUM(I97:I106)</f>
        <v>266375.01250000001</v>
      </c>
      <c r="J107" s="179">
        <f>I107/$D$5</f>
        <v>44.395835416666671</v>
      </c>
      <c r="K107" s="266">
        <f t="shared" si="17"/>
        <v>266.37501250000003</v>
      </c>
      <c r="L107" s="252"/>
      <c r="M107" s="252"/>
      <c r="N107" s="252"/>
    </row>
    <row r="108" spans="1:14" ht="15.6" x14ac:dyDescent="0.6">
      <c r="A108" s="252"/>
      <c r="B108" s="260" t="s">
        <v>28</v>
      </c>
      <c r="C108" s="273"/>
      <c r="D108" s="273"/>
      <c r="E108" s="268"/>
      <c r="F108" s="268"/>
      <c r="G108" s="259"/>
      <c r="H108" s="259"/>
      <c r="I108" s="265"/>
      <c r="J108" s="265"/>
      <c r="K108" s="265"/>
      <c r="L108" s="252"/>
      <c r="M108" s="252"/>
      <c r="N108" s="252"/>
    </row>
    <row r="109" spans="1:14" ht="15.6" x14ac:dyDescent="0.6">
      <c r="A109" s="252"/>
      <c r="B109" s="274"/>
      <c r="C109" s="267" t="s">
        <v>1</v>
      </c>
      <c r="D109" s="261" t="s">
        <v>99</v>
      </c>
      <c r="E109" s="268"/>
      <c r="F109" s="268"/>
      <c r="G109" s="259"/>
      <c r="H109" s="259"/>
      <c r="I109" s="266">
        <v>0</v>
      </c>
      <c r="J109" s="179">
        <f t="shared" ref="J109:J112" si="18">I109/$D$5</f>
        <v>0</v>
      </c>
      <c r="K109" s="266">
        <f t="shared" ref="K109:K112" si="19">I109/$D$4</f>
        <v>0</v>
      </c>
      <c r="L109" s="252"/>
      <c r="M109" s="252"/>
      <c r="N109" s="252"/>
    </row>
    <row r="110" spans="1:14" ht="15.6" x14ac:dyDescent="0.6">
      <c r="A110" s="252"/>
      <c r="B110" s="274"/>
      <c r="C110" s="267" t="s">
        <v>133</v>
      </c>
      <c r="D110" s="261" t="s">
        <v>134</v>
      </c>
      <c r="E110" s="268"/>
      <c r="F110" s="268"/>
      <c r="G110" s="259"/>
      <c r="H110" s="259"/>
      <c r="I110" s="266">
        <v>0</v>
      </c>
      <c r="J110" s="179">
        <f t="shared" si="18"/>
        <v>0</v>
      </c>
      <c r="K110" s="266">
        <f t="shared" si="19"/>
        <v>0</v>
      </c>
      <c r="L110" s="252"/>
      <c r="M110" s="252"/>
      <c r="N110" s="252"/>
    </row>
    <row r="111" spans="1:14" ht="15.6" x14ac:dyDescent="0.6">
      <c r="A111" s="252"/>
      <c r="B111" s="274"/>
      <c r="C111" s="267" t="s">
        <v>2</v>
      </c>
      <c r="D111" s="261">
        <f>D$25</f>
        <v>12</v>
      </c>
      <c r="E111" s="268" t="s">
        <v>57</v>
      </c>
      <c r="F111" s="269">
        <f>F$25</f>
        <v>800</v>
      </c>
      <c r="G111" s="259" t="s">
        <v>58</v>
      </c>
      <c r="H111" s="259"/>
      <c r="I111" s="272">
        <f>CEILING(-D111*F111,10)</f>
        <v>-9600</v>
      </c>
      <c r="J111" s="271">
        <f t="shared" si="18"/>
        <v>-1.6</v>
      </c>
      <c r="K111" s="272">
        <f t="shared" si="19"/>
        <v>-9.6</v>
      </c>
      <c r="L111" s="252"/>
      <c r="M111" s="252"/>
      <c r="N111" s="252"/>
    </row>
    <row r="112" spans="1:14" ht="15.6" x14ac:dyDescent="0.6">
      <c r="A112" s="252"/>
      <c r="B112" s="66"/>
      <c r="C112" s="273"/>
      <c r="D112" s="273"/>
      <c r="E112" s="273"/>
      <c r="F112" s="273"/>
      <c r="G112" s="273"/>
      <c r="H112" s="273"/>
      <c r="I112" s="266">
        <f>SUM(I109:I111)</f>
        <v>-9600</v>
      </c>
      <c r="J112" s="179">
        <f t="shared" si="18"/>
        <v>-1.6</v>
      </c>
      <c r="K112" s="266">
        <f t="shared" si="19"/>
        <v>-9.6</v>
      </c>
      <c r="L112" s="252"/>
      <c r="M112" s="252"/>
      <c r="N112" s="252"/>
    </row>
    <row r="113" spans="1:14" ht="15.6" x14ac:dyDescent="0.6">
      <c r="A113" s="252"/>
      <c r="B113" s="275" t="s">
        <v>0</v>
      </c>
      <c r="C113" s="257"/>
      <c r="D113" s="257"/>
      <c r="E113" s="257"/>
      <c r="F113" s="257"/>
      <c r="G113" s="257"/>
      <c r="H113" s="257"/>
      <c r="I113" s="276">
        <f>I94+I107+I112</f>
        <v>596335.01249999995</v>
      </c>
      <c r="J113" s="277">
        <f>J94+J107+J112</f>
        <v>99.38916875000001</v>
      </c>
      <c r="K113" s="278">
        <f>K94+K107+K112</f>
        <v>596.33501250000006</v>
      </c>
      <c r="L113" s="252"/>
      <c r="M113" s="252"/>
      <c r="N113" s="252"/>
    </row>
    <row r="114" spans="1:14" ht="15.6" x14ac:dyDescent="0.6">
      <c r="A114" s="252"/>
      <c r="B114" s="66" t="s">
        <v>23</v>
      </c>
      <c r="C114" s="259"/>
      <c r="D114" s="259"/>
      <c r="E114" s="259"/>
      <c r="F114" s="259"/>
      <c r="G114" s="259"/>
      <c r="H114" s="259"/>
      <c r="I114" s="198" t="s">
        <v>48</v>
      </c>
      <c r="J114" s="198" t="s">
        <v>49</v>
      </c>
      <c r="K114" s="198" t="s">
        <v>50</v>
      </c>
      <c r="L114" s="252"/>
      <c r="M114" s="252"/>
      <c r="N114" s="252"/>
    </row>
    <row r="115" spans="1:14" ht="15.6" x14ac:dyDescent="0.6">
      <c r="A115" s="252"/>
      <c r="B115" s="260" t="s">
        <v>3</v>
      </c>
      <c r="C115" s="259"/>
      <c r="D115" s="259"/>
      <c r="E115" s="259"/>
      <c r="F115" s="259"/>
      <c r="G115" s="259"/>
      <c r="L115" s="252"/>
      <c r="M115" s="252"/>
      <c r="N115" s="252"/>
    </row>
    <row r="116" spans="1:14" ht="15.6" x14ac:dyDescent="0.6">
      <c r="A116" s="252"/>
      <c r="B116" s="260"/>
      <c r="C116" s="259" t="s">
        <v>224</v>
      </c>
      <c r="D116" s="261">
        <f>D$15</f>
        <v>10185</v>
      </c>
      <c r="E116" s="262" t="s">
        <v>57</v>
      </c>
      <c r="F116" s="263">
        <f>F$30</f>
        <v>3.5</v>
      </c>
      <c r="G116" s="264" t="s">
        <v>204</v>
      </c>
      <c r="H116" s="259"/>
      <c r="I116" s="265">
        <f>CEILING(D116*F116,10)</f>
        <v>35650</v>
      </c>
      <c r="J116" s="179">
        <f>I116/$D$5</f>
        <v>5.9416666666666664</v>
      </c>
      <c r="K116" s="266">
        <f>I116/$D$4</f>
        <v>35.65</v>
      </c>
      <c r="L116" s="252"/>
      <c r="M116" s="252"/>
      <c r="N116" s="252"/>
    </row>
    <row r="117" spans="1:14" ht="15.6" x14ac:dyDescent="0.6">
      <c r="A117" s="252"/>
      <c r="B117" s="260"/>
      <c r="C117" s="259" t="s">
        <v>135</v>
      </c>
      <c r="D117" s="261">
        <f>D100</f>
        <v>5319</v>
      </c>
      <c r="E117" s="262" t="s">
        <v>57</v>
      </c>
      <c r="F117" s="263">
        <f>F$31</f>
        <v>3.5</v>
      </c>
      <c r="G117" s="264" t="s">
        <v>204</v>
      </c>
      <c r="H117" s="259"/>
      <c r="I117" s="265">
        <f>CEILING(D117*F117,10)</f>
        <v>18620</v>
      </c>
      <c r="J117" s="179">
        <f>I117/$D$5</f>
        <v>3.1033333333333335</v>
      </c>
      <c r="K117" s="266">
        <f>I117/$D$4</f>
        <v>18.62</v>
      </c>
      <c r="L117" s="252"/>
      <c r="M117" s="252"/>
      <c r="N117" s="252"/>
    </row>
    <row r="118" spans="1:14" ht="15.6" x14ac:dyDescent="0.6">
      <c r="A118" s="252"/>
      <c r="B118" s="260" t="s">
        <v>97</v>
      </c>
      <c r="C118" s="259"/>
      <c r="D118" s="261">
        <f>D116</f>
        <v>10185</v>
      </c>
      <c r="E118" s="262" t="s">
        <v>56</v>
      </c>
      <c r="F118" s="263">
        <f>I118/D118</f>
        <v>7.3480608738340694</v>
      </c>
      <c r="G118" s="264" t="s">
        <v>204</v>
      </c>
      <c r="H118" s="259"/>
      <c r="I118" s="265">
        <f>'Step 3'!F87</f>
        <v>74840</v>
      </c>
      <c r="J118" s="179">
        <f t="shared" ref="J118:J122" si="20">I118/$D$5</f>
        <v>12.473333333333333</v>
      </c>
      <c r="K118" s="266">
        <f t="shared" ref="K118:K122" si="21">I118/$D$4</f>
        <v>74.84</v>
      </c>
      <c r="L118" s="252"/>
      <c r="M118" s="252"/>
      <c r="N118" s="252"/>
    </row>
    <row r="119" spans="1:14" ht="15.6" x14ac:dyDescent="0.6">
      <c r="A119" s="252"/>
      <c r="B119" s="260" t="s">
        <v>24</v>
      </c>
      <c r="C119" s="259"/>
      <c r="D119" s="261">
        <f>D116</f>
        <v>10185</v>
      </c>
      <c r="E119" s="262" t="str">
        <f>E116</f>
        <v>hd @</v>
      </c>
      <c r="F119" s="263">
        <f>F$33</f>
        <v>6.5</v>
      </c>
      <c r="G119" s="264" t="s">
        <v>204</v>
      </c>
      <c r="H119" s="259"/>
      <c r="I119" s="265">
        <f>CEILING(D119*F119,10)</f>
        <v>66210</v>
      </c>
      <c r="J119" s="179">
        <f t="shared" si="20"/>
        <v>11.035</v>
      </c>
      <c r="K119" s="266">
        <f t="shared" si="21"/>
        <v>66.209999999999994</v>
      </c>
      <c r="L119" s="252"/>
      <c r="M119" s="252"/>
      <c r="N119" s="252"/>
    </row>
    <row r="120" spans="1:14" ht="15.6" x14ac:dyDescent="0.6">
      <c r="A120" s="252"/>
      <c r="B120" s="260" t="s">
        <v>25</v>
      </c>
      <c r="C120" s="259"/>
      <c r="D120" s="279">
        <f>D94*F94/170</f>
        <v>221.1035294117647</v>
      </c>
      <c r="E120" s="262" t="s">
        <v>59</v>
      </c>
      <c r="F120" s="263">
        <f>F$34</f>
        <v>20</v>
      </c>
      <c r="G120" s="264" t="s">
        <v>60</v>
      </c>
      <c r="H120" s="259"/>
      <c r="I120" s="265">
        <f>CEILING(D120*F120,10)</f>
        <v>4430</v>
      </c>
      <c r="J120" s="179">
        <f t="shared" si="20"/>
        <v>0.73833333333333329</v>
      </c>
      <c r="K120" s="266">
        <f t="shared" si="21"/>
        <v>4.43</v>
      </c>
      <c r="L120" s="252"/>
      <c r="M120" s="252"/>
      <c r="N120" s="252"/>
    </row>
    <row r="121" spans="1:14" ht="15.6" x14ac:dyDescent="0.6">
      <c r="A121" s="252"/>
      <c r="B121" s="260" t="s">
        <v>26</v>
      </c>
      <c r="C121" s="259"/>
      <c r="D121" s="259"/>
      <c r="E121" s="259"/>
      <c r="F121" s="263">
        <f>F$35</f>
        <v>15</v>
      </c>
      <c r="G121" s="264" t="s">
        <v>60</v>
      </c>
      <c r="H121" s="259"/>
      <c r="I121" s="265">
        <f>CEILING(D120*F121,10)</f>
        <v>3320</v>
      </c>
      <c r="J121" s="179">
        <f t="shared" si="20"/>
        <v>0.55333333333333334</v>
      </c>
      <c r="K121" s="266">
        <f t="shared" si="21"/>
        <v>3.32</v>
      </c>
      <c r="L121" s="252"/>
      <c r="M121" s="252"/>
      <c r="N121" s="252"/>
    </row>
    <row r="122" spans="1:14" ht="15.6" x14ac:dyDescent="0.6">
      <c r="A122" s="252"/>
      <c r="B122" s="260" t="s">
        <v>27</v>
      </c>
      <c r="C122" s="259"/>
      <c r="D122" s="261">
        <f>D97+D98+D105+D106+D111</f>
        <v>4990.375</v>
      </c>
      <c r="E122" s="268" t="s">
        <v>57</v>
      </c>
      <c r="F122" s="263">
        <f>F$36</f>
        <v>2</v>
      </c>
      <c r="G122" s="264" t="s">
        <v>61</v>
      </c>
      <c r="H122" s="259"/>
      <c r="I122" s="265">
        <f>CEILING(D122*F122,10)</f>
        <v>9990</v>
      </c>
      <c r="J122" s="179">
        <f t="shared" si="20"/>
        <v>1.665</v>
      </c>
      <c r="K122" s="266">
        <f t="shared" si="21"/>
        <v>9.99</v>
      </c>
      <c r="L122" s="252"/>
      <c r="M122" s="252"/>
      <c r="N122" s="252"/>
    </row>
    <row r="123" spans="1:14" ht="15.6" x14ac:dyDescent="0.6">
      <c r="A123" s="252"/>
      <c r="B123" s="275" t="s">
        <v>41</v>
      </c>
      <c r="C123" s="257"/>
      <c r="D123" s="257"/>
      <c r="E123" s="280"/>
      <c r="F123" s="257"/>
      <c r="G123" s="257"/>
      <c r="H123" s="257"/>
      <c r="I123" s="276">
        <f>SUM(I116:I122)</f>
        <v>213060</v>
      </c>
      <c r="J123" s="277">
        <f>SUM(J116:J122)</f>
        <v>35.509999999999991</v>
      </c>
      <c r="K123" s="278">
        <f>SUM(K116:K122)</f>
        <v>213.06</v>
      </c>
      <c r="L123" s="252"/>
      <c r="M123" s="252"/>
      <c r="N123" s="252"/>
    </row>
    <row r="124" spans="1:14" ht="15.6" x14ac:dyDescent="0.6">
      <c r="A124" s="252"/>
      <c r="B124" s="281" t="s">
        <v>62</v>
      </c>
      <c r="C124" s="257"/>
      <c r="D124" s="257"/>
      <c r="E124" s="280"/>
      <c r="F124" s="257"/>
      <c r="G124" s="257"/>
      <c r="H124" s="257"/>
      <c r="I124" s="276">
        <f>I113-I123</f>
        <v>383275.01249999995</v>
      </c>
      <c r="J124" s="277">
        <f>J113-J123</f>
        <v>63.879168750000019</v>
      </c>
      <c r="K124" s="278">
        <f>K113-K123</f>
        <v>383.27501250000006</v>
      </c>
      <c r="L124" s="252"/>
      <c r="M124" s="252"/>
      <c r="N124" s="252"/>
    </row>
    <row r="125" spans="1:14" ht="15.6" x14ac:dyDescent="0.6">
      <c r="A125" s="252"/>
      <c r="B125" s="282"/>
      <c r="C125" s="255"/>
      <c r="D125" s="255"/>
      <c r="E125" s="255"/>
      <c r="F125" s="255"/>
      <c r="G125" s="255"/>
      <c r="H125" s="255"/>
      <c r="I125" s="255"/>
      <c r="J125" s="255"/>
      <c r="K125" s="255"/>
      <c r="L125" s="252"/>
      <c r="M125" s="252"/>
      <c r="N125" s="252"/>
    </row>
    <row r="126" spans="1:14" ht="18.3" x14ac:dyDescent="0.7">
      <c r="A126" s="252"/>
      <c r="B126" s="253" t="s">
        <v>256</v>
      </c>
      <c r="C126" s="252"/>
      <c r="D126" s="252"/>
      <c r="E126" s="252"/>
      <c r="F126" s="252"/>
      <c r="G126" s="252"/>
      <c r="H126" s="252"/>
      <c r="I126" s="252"/>
      <c r="J126" s="252"/>
      <c r="K126" s="252"/>
      <c r="L126" s="252"/>
      <c r="M126" s="252"/>
      <c r="N126" s="252"/>
    </row>
    <row r="127" spans="1:14" ht="17.7" x14ac:dyDescent="0.6">
      <c r="A127" s="252"/>
      <c r="B127" s="256"/>
      <c r="C127" s="257"/>
      <c r="D127" s="257"/>
      <c r="E127" s="257"/>
      <c r="F127" s="257"/>
      <c r="G127" s="257"/>
      <c r="H127" s="257"/>
      <c r="I127" s="258" t="s">
        <v>46</v>
      </c>
      <c r="J127" s="258" t="s">
        <v>78</v>
      </c>
      <c r="K127" s="258" t="s">
        <v>87</v>
      </c>
      <c r="L127" s="252"/>
      <c r="M127" s="252"/>
      <c r="N127" s="252"/>
    </row>
    <row r="128" spans="1:14" ht="15.6" x14ac:dyDescent="0.6">
      <c r="A128" s="252"/>
      <c r="B128" s="66" t="s">
        <v>18</v>
      </c>
      <c r="C128" s="259"/>
      <c r="D128" s="259"/>
      <c r="E128" s="259"/>
      <c r="F128" s="259"/>
      <c r="G128" s="259"/>
      <c r="H128" s="259"/>
      <c r="I128" s="198" t="s">
        <v>48</v>
      </c>
      <c r="J128" s="198" t="s">
        <v>49</v>
      </c>
      <c r="K128" s="198" t="s">
        <v>50</v>
      </c>
      <c r="L128" s="252"/>
      <c r="M128" s="252"/>
      <c r="N128" s="252"/>
    </row>
    <row r="129" spans="1:14" ht="15.6" x14ac:dyDescent="0.6">
      <c r="A129" s="252"/>
      <c r="B129" s="260" t="s">
        <v>4</v>
      </c>
      <c r="C129" s="259"/>
      <c r="D129" s="261">
        <f>$D$11</f>
        <v>6000</v>
      </c>
      <c r="E129" s="288" t="s">
        <v>212</v>
      </c>
      <c r="F129" s="348">
        <f>K45</f>
        <v>6.3281999999999998</v>
      </c>
      <c r="G129" s="263">
        <f>L45</f>
        <v>9.0112499999999986</v>
      </c>
      <c r="H129" s="264" t="s">
        <v>47</v>
      </c>
      <c r="I129" s="265">
        <f>CEILING(D129*F129*G129,10)</f>
        <v>342150</v>
      </c>
      <c r="J129" s="179">
        <f>I129/$D$5</f>
        <v>57.024999999999999</v>
      </c>
      <c r="K129" s="266">
        <f>I129/$D$4</f>
        <v>342.15</v>
      </c>
      <c r="L129" s="252"/>
      <c r="M129" s="252"/>
      <c r="N129" s="252"/>
    </row>
    <row r="130" spans="1:14" ht="15.6" x14ac:dyDescent="0.6">
      <c r="A130" s="252"/>
      <c r="B130" s="260"/>
      <c r="C130" s="259"/>
      <c r="D130" s="261"/>
      <c r="E130" s="314" t="s">
        <v>214</v>
      </c>
      <c r="F130" s="289"/>
      <c r="G130" s="263"/>
      <c r="H130" s="264"/>
      <c r="I130" s="265"/>
      <c r="J130" s="179"/>
      <c r="K130" s="266"/>
      <c r="L130" s="252"/>
      <c r="M130" s="252"/>
      <c r="N130" s="252"/>
    </row>
    <row r="131" spans="1:14" ht="15.6" x14ac:dyDescent="0.6">
      <c r="A131" s="252"/>
      <c r="B131" s="260" t="s">
        <v>22</v>
      </c>
      <c r="C131" s="259"/>
      <c r="D131" s="261"/>
      <c r="E131" s="327" t="s">
        <v>225</v>
      </c>
      <c r="F131" s="259"/>
      <c r="G131" s="259"/>
      <c r="H131" s="259"/>
      <c r="I131" s="265"/>
      <c r="J131" s="265"/>
      <c r="K131" s="265"/>
      <c r="L131" s="252"/>
      <c r="M131" s="252"/>
      <c r="N131" s="252"/>
    </row>
    <row r="132" spans="1:14" ht="15.6" x14ac:dyDescent="0.6">
      <c r="A132" s="252"/>
      <c r="B132" s="66"/>
      <c r="C132" s="267" t="s">
        <v>19</v>
      </c>
      <c r="D132" s="261">
        <f>D$17+D$11*'Step 3'!F141</f>
        <v>915</v>
      </c>
      <c r="E132" s="328">
        <f>-(D$17-D132)/D$17</f>
        <v>1.6666666666666666E-2</v>
      </c>
      <c r="F132" s="346">
        <f>G45</f>
        <v>39.799999999999997</v>
      </c>
      <c r="G132" s="259" t="s">
        <v>55</v>
      </c>
      <c r="H132" s="252"/>
      <c r="I132" s="265">
        <f>CEILING(D132*F132,10)</f>
        <v>36420</v>
      </c>
      <c r="J132" s="179">
        <f t="shared" ref="J132:J133" si="22">I132/$D$5</f>
        <v>6.07</v>
      </c>
      <c r="K132" s="266">
        <f t="shared" ref="K132:K133" si="23">I132/$D$4</f>
        <v>36.42</v>
      </c>
      <c r="L132" s="252"/>
      <c r="M132" s="252"/>
      <c r="N132" s="252"/>
    </row>
    <row r="133" spans="1:14" ht="15.6" x14ac:dyDescent="0.6">
      <c r="A133" s="252"/>
      <c r="B133" s="66"/>
      <c r="C133" s="267" t="s">
        <v>215</v>
      </c>
      <c r="D133" s="261">
        <f>D$18+D$12*'Step 3'!F141</f>
        <v>381.25</v>
      </c>
      <c r="E133" s="328">
        <f>-(D$18-D133)/D$18</f>
        <v>1.6666666666666666E-2</v>
      </c>
      <c r="F133" s="346">
        <f>H45</f>
        <v>39.799999999999997</v>
      </c>
      <c r="G133" s="259" t="s">
        <v>55</v>
      </c>
      <c r="H133" s="252"/>
      <c r="I133" s="265">
        <f>CEILING(D133*F133,10)</f>
        <v>15180</v>
      </c>
      <c r="J133" s="179">
        <f t="shared" si="22"/>
        <v>2.5299999999999998</v>
      </c>
      <c r="K133" s="266">
        <f t="shared" si="23"/>
        <v>15.18</v>
      </c>
      <c r="L133" s="252"/>
      <c r="M133" s="252"/>
      <c r="N133" s="252"/>
    </row>
    <row r="134" spans="1:14" ht="15.6" x14ac:dyDescent="0.6">
      <c r="A134" s="252"/>
      <c r="B134" s="66"/>
      <c r="C134" s="267" t="s">
        <v>20</v>
      </c>
      <c r="D134" s="261"/>
      <c r="E134" s="326"/>
      <c r="F134" s="252"/>
      <c r="G134" s="252"/>
      <c r="H134" s="252"/>
      <c r="I134" s="127"/>
      <c r="J134" s="127"/>
      <c r="K134" s="127"/>
      <c r="L134" s="252"/>
      <c r="M134" s="252"/>
      <c r="N134" s="252"/>
    </row>
    <row r="135" spans="1:14" ht="15.6" x14ac:dyDescent="0.6">
      <c r="A135" s="252"/>
      <c r="B135" s="66"/>
      <c r="C135" s="273" t="s">
        <v>216</v>
      </c>
      <c r="D135" s="261">
        <f>D$59*D45</f>
        <v>5373</v>
      </c>
      <c r="E135" s="326"/>
      <c r="F135" s="269"/>
      <c r="G135" s="259"/>
      <c r="H135" s="252"/>
      <c r="I135" s="265"/>
      <c r="J135" s="179"/>
      <c r="K135" s="266"/>
      <c r="L135" s="252"/>
      <c r="M135" s="252"/>
      <c r="N135" s="252"/>
    </row>
    <row r="136" spans="1:14" ht="15.6" x14ac:dyDescent="0.6">
      <c r="A136" s="252"/>
      <c r="B136" s="66"/>
      <c r="C136" s="273" t="s">
        <v>98</v>
      </c>
      <c r="D136" s="261">
        <f>-D$11*E45</f>
        <v>-300.75</v>
      </c>
      <c r="E136" s="326"/>
      <c r="F136" s="269"/>
      <c r="G136" s="259"/>
      <c r="H136" s="252"/>
      <c r="I136" s="265"/>
      <c r="J136" s="179"/>
      <c r="K136" s="266"/>
      <c r="L136" s="252"/>
      <c r="M136" s="252"/>
      <c r="N136" s="252"/>
    </row>
    <row r="137" spans="1:14" ht="15.6" x14ac:dyDescent="0.6">
      <c r="A137" s="252"/>
      <c r="B137" s="66"/>
      <c r="C137" s="273" t="s">
        <v>222</v>
      </c>
      <c r="D137" s="261">
        <f>-D132</f>
        <v>-915</v>
      </c>
      <c r="E137" s="326"/>
      <c r="F137" s="269"/>
      <c r="G137" s="259"/>
      <c r="H137" s="252"/>
      <c r="I137" s="265"/>
      <c r="J137" s="179"/>
      <c r="K137" s="266"/>
      <c r="L137" s="252"/>
      <c r="M137" s="252"/>
      <c r="N137" s="252"/>
    </row>
    <row r="138" spans="1:14" ht="15.6" x14ac:dyDescent="0.6">
      <c r="A138" s="252"/>
      <c r="B138" s="66"/>
      <c r="C138" s="273" t="s">
        <v>210</v>
      </c>
      <c r="D138" s="261">
        <f>-D$12*F45</f>
        <v>-50.124999999999993</v>
      </c>
      <c r="E138" s="326"/>
      <c r="F138" s="269"/>
      <c r="G138" s="259"/>
      <c r="H138" s="252"/>
      <c r="I138" s="265"/>
      <c r="J138" s="179"/>
      <c r="K138" s="266"/>
      <c r="L138" s="252"/>
      <c r="M138" s="252"/>
      <c r="N138" s="252"/>
    </row>
    <row r="139" spans="1:14" ht="15.6" x14ac:dyDescent="0.6">
      <c r="A139" s="252"/>
      <c r="B139" s="66"/>
      <c r="C139" s="273" t="s">
        <v>217</v>
      </c>
      <c r="D139" s="285">
        <f>-D133</f>
        <v>-381.25</v>
      </c>
      <c r="E139" s="326"/>
      <c r="F139" s="269"/>
      <c r="G139" s="259"/>
      <c r="H139" s="252"/>
      <c r="I139" s="265"/>
      <c r="J139" s="179"/>
      <c r="K139" s="266"/>
      <c r="L139" s="252"/>
      <c r="M139" s="252"/>
      <c r="N139" s="252"/>
    </row>
    <row r="140" spans="1:14" ht="15.6" x14ac:dyDescent="0.6">
      <c r="A140" s="252"/>
      <c r="B140" s="66"/>
      <c r="C140" s="267"/>
      <c r="D140" s="261">
        <f>SUM(D135:D139)</f>
        <v>3725.875</v>
      </c>
      <c r="E140" s="329">
        <f>-(D$19-D140)/D$19</f>
        <v>-1.3013245033112584E-2</v>
      </c>
      <c r="F140" s="263">
        <f>I45</f>
        <v>59.7</v>
      </c>
      <c r="G140" s="259" t="s">
        <v>55</v>
      </c>
      <c r="H140" s="252"/>
      <c r="I140" s="265">
        <f>D140*F140</f>
        <v>222434.73750000002</v>
      </c>
      <c r="J140" s="179">
        <f>I140/$D$5</f>
        <v>37.072456250000002</v>
      </c>
      <c r="K140" s="266">
        <f>I140/$D$4</f>
        <v>222.43473750000001</v>
      </c>
      <c r="L140" s="252"/>
      <c r="M140" s="252"/>
      <c r="N140" s="252"/>
    </row>
    <row r="141" spans="1:14" ht="15.6" x14ac:dyDescent="0.6">
      <c r="A141" s="252"/>
      <c r="B141" s="66"/>
      <c r="C141" s="267" t="s">
        <v>21</v>
      </c>
      <c r="D141" s="261">
        <f>D$25</f>
        <v>12</v>
      </c>
      <c r="E141" s="268" t="s">
        <v>57</v>
      </c>
      <c r="F141" s="263">
        <f>J45</f>
        <v>39.799999999999997</v>
      </c>
      <c r="G141" s="259" t="s">
        <v>55</v>
      </c>
      <c r="H141" s="252"/>
      <c r="I141" s="270">
        <f>CEILING(D141*F141,10)</f>
        <v>480</v>
      </c>
      <c r="J141" s="271">
        <f t="shared" ref="J141" si="24">I141/$D$5</f>
        <v>0.08</v>
      </c>
      <c r="K141" s="272">
        <f t="shared" ref="K141:K142" si="25">I141/$D$4</f>
        <v>0.48</v>
      </c>
      <c r="L141" s="252"/>
      <c r="M141" s="252"/>
      <c r="N141" s="252"/>
    </row>
    <row r="142" spans="1:14" ht="15.6" x14ac:dyDescent="0.6">
      <c r="A142" s="252"/>
      <c r="B142" s="66"/>
      <c r="C142" s="267"/>
      <c r="D142" s="267"/>
      <c r="E142" s="268"/>
      <c r="F142" s="268"/>
      <c r="G142" s="259"/>
      <c r="H142" s="259"/>
      <c r="I142" s="265">
        <f>SUM(I132:I141)</f>
        <v>274514.73750000005</v>
      </c>
      <c r="J142" s="179">
        <f>I142/$D$5</f>
        <v>45.752456250000009</v>
      </c>
      <c r="K142" s="266">
        <f t="shared" si="25"/>
        <v>274.51473750000002</v>
      </c>
      <c r="L142" s="252"/>
      <c r="M142" s="252"/>
      <c r="N142" s="252"/>
    </row>
    <row r="143" spans="1:14" ht="15.6" x14ac:dyDescent="0.6">
      <c r="A143" s="252"/>
      <c r="B143" s="260" t="s">
        <v>28</v>
      </c>
      <c r="C143" s="273"/>
      <c r="D143" s="273"/>
      <c r="E143" s="268"/>
      <c r="F143" s="268"/>
      <c r="G143" s="259"/>
      <c r="H143" s="259"/>
      <c r="I143" s="265"/>
      <c r="J143" s="265"/>
      <c r="K143" s="265"/>
      <c r="L143" s="252"/>
      <c r="M143" s="252"/>
      <c r="N143" s="252"/>
    </row>
    <row r="144" spans="1:14" ht="15.6" x14ac:dyDescent="0.6">
      <c r="A144" s="252"/>
      <c r="B144" s="274"/>
      <c r="C144" s="267" t="s">
        <v>1</v>
      </c>
      <c r="D144" s="261" t="s">
        <v>99</v>
      </c>
      <c r="E144" s="268"/>
      <c r="F144" s="268"/>
      <c r="G144" s="259"/>
      <c r="H144" s="259"/>
      <c r="I144" s="266">
        <v>0</v>
      </c>
      <c r="J144" s="179">
        <f t="shared" ref="J144:J147" si="26">I144/$D$5</f>
        <v>0</v>
      </c>
      <c r="K144" s="266">
        <f t="shared" ref="K144:K147" si="27">I144/$D$4</f>
        <v>0</v>
      </c>
      <c r="L144" s="252"/>
      <c r="M144" s="252"/>
      <c r="N144" s="252"/>
    </row>
    <row r="145" spans="1:14" ht="15.6" x14ac:dyDescent="0.6">
      <c r="A145" s="252"/>
      <c r="B145" s="274"/>
      <c r="C145" s="267" t="s">
        <v>133</v>
      </c>
      <c r="D145" s="261" t="s">
        <v>134</v>
      </c>
      <c r="E145" s="268"/>
      <c r="F145" s="268"/>
      <c r="G145" s="259"/>
      <c r="H145" s="259"/>
      <c r="I145" s="266">
        <v>0</v>
      </c>
      <c r="J145" s="179">
        <f t="shared" si="26"/>
        <v>0</v>
      </c>
      <c r="K145" s="266">
        <f t="shared" si="27"/>
        <v>0</v>
      </c>
      <c r="L145" s="252"/>
      <c r="M145" s="252"/>
      <c r="N145" s="252"/>
    </row>
    <row r="146" spans="1:14" ht="15.6" x14ac:dyDescent="0.6">
      <c r="A146" s="252"/>
      <c r="B146" s="274"/>
      <c r="C146" s="267" t="s">
        <v>2</v>
      </c>
      <c r="D146" s="261">
        <f>D$25</f>
        <v>12</v>
      </c>
      <c r="E146" s="268" t="s">
        <v>57</v>
      </c>
      <c r="F146" s="269">
        <f>F$25</f>
        <v>800</v>
      </c>
      <c r="G146" s="259" t="s">
        <v>58</v>
      </c>
      <c r="H146" s="259"/>
      <c r="I146" s="272">
        <f>CEILING(-D146*F146,10)</f>
        <v>-9600</v>
      </c>
      <c r="J146" s="271">
        <f t="shared" si="26"/>
        <v>-1.6</v>
      </c>
      <c r="K146" s="272">
        <f t="shared" si="27"/>
        <v>-9.6</v>
      </c>
      <c r="L146" s="252"/>
      <c r="M146" s="252"/>
      <c r="N146" s="252"/>
    </row>
    <row r="147" spans="1:14" ht="15.6" x14ac:dyDescent="0.6">
      <c r="A147" s="252"/>
      <c r="B147" s="66"/>
      <c r="C147" s="273"/>
      <c r="D147" s="273"/>
      <c r="E147" s="273"/>
      <c r="F147" s="273"/>
      <c r="G147" s="273"/>
      <c r="H147" s="273"/>
      <c r="I147" s="266">
        <f>SUM(I144:I146)</f>
        <v>-9600</v>
      </c>
      <c r="J147" s="179">
        <f t="shared" si="26"/>
        <v>-1.6</v>
      </c>
      <c r="K147" s="266">
        <f t="shared" si="27"/>
        <v>-9.6</v>
      </c>
      <c r="L147" s="252"/>
      <c r="M147" s="252"/>
      <c r="N147" s="252"/>
    </row>
    <row r="148" spans="1:14" ht="15.6" x14ac:dyDescent="0.6">
      <c r="A148" s="252"/>
      <c r="B148" s="275" t="s">
        <v>0</v>
      </c>
      <c r="C148" s="257"/>
      <c r="D148" s="257"/>
      <c r="E148" s="257"/>
      <c r="F148" s="257"/>
      <c r="G148" s="257"/>
      <c r="H148" s="257"/>
      <c r="I148" s="276">
        <f>I129+I142+I147</f>
        <v>607064.73750000005</v>
      </c>
      <c r="J148" s="277">
        <f>J129+J142+J147</f>
        <v>101.17745625000001</v>
      </c>
      <c r="K148" s="278">
        <f>K129+K142+K147</f>
        <v>607.06473749999998</v>
      </c>
      <c r="L148" s="252"/>
      <c r="M148" s="252"/>
      <c r="N148" s="252"/>
    </row>
    <row r="149" spans="1:14" ht="15.6" x14ac:dyDescent="0.6">
      <c r="A149" s="252"/>
      <c r="B149" s="66" t="s">
        <v>23</v>
      </c>
      <c r="C149" s="259"/>
      <c r="D149" s="259"/>
      <c r="E149" s="259"/>
      <c r="F149" s="259"/>
      <c r="G149" s="259"/>
      <c r="H149" s="259"/>
      <c r="I149" s="198" t="s">
        <v>48</v>
      </c>
      <c r="J149" s="198" t="s">
        <v>49</v>
      </c>
      <c r="K149" s="198" t="s">
        <v>50</v>
      </c>
      <c r="L149" s="252"/>
      <c r="M149" s="252"/>
      <c r="N149" s="252"/>
    </row>
    <row r="150" spans="1:14" ht="15.6" x14ac:dyDescent="0.6">
      <c r="A150" s="252"/>
      <c r="B150" s="260" t="s">
        <v>3</v>
      </c>
      <c r="C150" s="259"/>
      <c r="D150" s="259"/>
      <c r="E150" s="259"/>
      <c r="F150" s="259"/>
      <c r="G150" s="259"/>
      <c r="L150" s="252"/>
      <c r="M150" s="252"/>
      <c r="N150" s="252"/>
    </row>
    <row r="151" spans="1:14" ht="15.6" x14ac:dyDescent="0.6">
      <c r="A151" s="252"/>
      <c r="B151" s="260"/>
      <c r="C151" s="259" t="s">
        <v>224</v>
      </c>
      <c r="D151" s="261">
        <f>D$15</f>
        <v>10185</v>
      </c>
      <c r="E151" s="262" t="s">
        <v>57</v>
      </c>
      <c r="F151" s="263">
        <f>F$30</f>
        <v>3.5</v>
      </c>
      <c r="G151" s="264" t="s">
        <v>204</v>
      </c>
      <c r="H151" s="259"/>
      <c r="I151" s="265">
        <f>CEILING(D151*F151,10)</f>
        <v>35650</v>
      </c>
      <c r="J151" s="179">
        <f>I151/$D$5</f>
        <v>5.9416666666666664</v>
      </c>
      <c r="K151" s="266">
        <f>I151/$D$4</f>
        <v>35.65</v>
      </c>
      <c r="L151" s="252"/>
      <c r="M151" s="252"/>
      <c r="N151" s="252"/>
    </row>
    <row r="152" spans="1:14" ht="15.6" x14ac:dyDescent="0.6">
      <c r="A152" s="252"/>
      <c r="B152" s="260"/>
      <c r="C152" s="259" t="s">
        <v>135</v>
      </c>
      <c r="D152" s="261">
        <f>D135</f>
        <v>5373</v>
      </c>
      <c r="E152" s="262" t="s">
        <v>57</v>
      </c>
      <c r="F152" s="263">
        <f>F$31</f>
        <v>3.5</v>
      </c>
      <c r="G152" s="264" t="s">
        <v>204</v>
      </c>
      <c r="H152" s="259"/>
      <c r="I152" s="265">
        <f>CEILING(D152*F152,10)</f>
        <v>18810</v>
      </c>
      <c r="J152" s="179">
        <f>I152/$D$5</f>
        <v>3.1349999999999998</v>
      </c>
      <c r="K152" s="266">
        <f>I152/$D$4</f>
        <v>18.809999999999999</v>
      </c>
      <c r="L152" s="252"/>
      <c r="M152" s="252"/>
      <c r="N152" s="252"/>
    </row>
    <row r="153" spans="1:14" ht="15.6" x14ac:dyDescent="0.6">
      <c r="A153" s="252"/>
      <c r="B153" s="260" t="s">
        <v>97</v>
      </c>
      <c r="C153" s="259"/>
      <c r="D153" s="261">
        <f>D151</f>
        <v>10185</v>
      </c>
      <c r="E153" s="262" t="s">
        <v>57</v>
      </c>
      <c r="F153" s="263">
        <f>I153/D153</f>
        <v>7.3480608738340694</v>
      </c>
      <c r="G153" s="264" t="s">
        <v>204</v>
      </c>
      <c r="H153" s="259"/>
      <c r="I153" s="265">
        <f>'Step 3'!F88</f>
        <v>74840</v>
      </c>
      <c r="J153" s="179">
        <f t="shared" ref="J153:J157" si="28">I153/$D$5</f>
        <v>12.473333333333333</v>
      </c>
      <c r="K153" s="266">
        <f t="shared" ref="K153:K157" si="29">I153/$D$4</f>
        <v>74.84</v>
      </c>
      <c r="L153" s="252"/>
      <c r="M153" s="252"/>
      <c r="N153" s="252"/>
    </row>
    <row r="154" spans="1:14" ht="15.6" x14ac:dyDescent="0.6">
      <c r="A154" s="252"/>
      <c r="B154" s="260" t="s">
        <v>24</v>
      </c>
      <c r="C154" s="259"/>
      <c r="D154" s="261">
        <f>D151</f>
        <v>10185</v>
      </c>
      <c r="E154" s="262" t="str">
        <f>E151</f>
        <v>hd @</v>
      </c>
      <c r="F154" s="263">
        <f>F$33</f>
        <v>6.5</v>
      </c>
      <c r="G154" s="264" t="s">
        <v>204</v>
      </c>
      <c r="H154" s="259"/>
      <c r="I154" s="265">
        <f>CEILING(D154*F154,10)</f>
        <v>66210</v>
      </c>
      <c r="J154" s="179">
        <f t="shared" si="28"/>
        <v>11.035</v>
      </c>
      <c r="K154" s="266">
        <f t="shared" si="29"/>
        <v>66.209999999999994</v>
      </c>
      <c r="L154" s="252"/>
      <c r="M154" s="252"/>
      <c r="N154" s="252"/>
    </row>
    <row r="155" spans="1:14" ht="15.6" x14ac:dyDescent="0.6">
      <c r="A155" s="252"/>
      <c r="B155" s="260" t="s">
        <v>25</v>
      </c>
      <c r="C155" s="259"/>
      <c r="D155" s="279">
        <f>D129*F129/170</f>
        <v>223.34823529411764</v>
      </c>
      <c r="E155" s="262" t="s">
        <v>59</v>
      </c>
      <c r="F155" s="263">
        <f>F$34</f>
        <v>20</v>
      </c>
      <c r="G155" s="264" t="s">
        <v>60</v>
      </c>
      <c r="H155" s="259"/>
      <c r="I155" s="265">
        <f>CEILING(D155*F155,10)</f>
        <v>4470</v>
      </c>
      <c r="J155" s="179">
        <f t="shared" si="28"/>
        <v>0.745</v>
      </c>
      <c r="K155" s="266">
        <f t="shared" si="29"/>
        <v>4.47</v>
      </c>
      <c r="L155" s="252"/>
      <c r="M155" s="252"/>
      <c r="N155" s="252"/>
    </row>
    <row r="156" spans="1:14" ht="15.6" x14ac:dyDescent="0.6">
      <c r="A156" s="252"/>
      <c r="B156" s="260" t="s">
        <v>26</v>
      </c>
      <c r="C156" s="259"/>
      <c r="D156" s="259"/>
      <c r="E156" s="259"/>
      <c r="F156" s="263">
        <f>F$35</f>
        <v>15</v>
      </c>
      <c r="G156" s="264" t="s">
        <v>60</v>
      </c>
      <c r="H156" s="259"/>
      <c r="I156" s="265">
        <f>CEILING(D155*F156,10)</f>
        <v>3360</v>
      </c>
      <c r="J156" s="179">
        <f t="shared" si="28"/>
        <v>0.56000000000000005</v>
      </c>
      <c r="K156" s="266">
        <f t="shared" si="29"/>
        <v>3.36</v>
      </c>
      <c r="L156" s="252"/>
      <c r="M156" s="252"/>
      <c r="N156" s="252"/>
    </row>
    <row r="157" spans="1:14" ht="15.6" x14ac:dyDescent="0.6">
      <c r="A157" s="252"/>
      <c r="B157" s="260" t="s">
        <v>27</v>
      </c>
      <c r="C157" s="259"/>
      <c r="D157" s="261">
        <f>D132+D133+D140+D141+D146</f>
        <v>5046.125</v>
      </c>
      <c r="E157" s="268" t="s">
        <v>57</v>
      </c>
      <c r="F157" s="263">
        <f>F$36</f>
        <v>2</v>
      </c>
      <c r="G157" s="264" t="s">
        <v>61</v>
      </c>
      <c r="H157" s="259"/>
      <c r="I157" s="265">
        <f>CEILING(D157*F157,10)</f>
        <v>10100</v>
      </c>
      <c r="J157" s="179">
        <f t="shared" si="28"/>
        <v>1.6833333333333333</v>
      </c>
      <c r="K157" s="266">
        <f t="shared" si="29"/>
        <v>10.1</v>
      </c>
      <c r="L157" s="252"/>
      <c r="M157" s="252"/>
      <c r="N157" s="252"/>
    </row>
    <row r="158" spans="1:14" ht="15.6" x14ac:dyDescent="0.6">
      <c r="A158" s="252"/>
      <c r="B158" s="275" t="s">
        <v>41</v>
      </c>
      <c r="C158" s="257"/>
      <c r="D158" s="257"/>
      <c r="E158" s="280"/>
      <c r="F158" s="257"/>
      <c r="G158" s="257"/>
      <c r="H158" s="257"/>
      <c r="I158" s="276">
        <f>SUM(I151:I157)</f>
        <v>213440</v>
      </c>
      <c r="J158" s="277">
        <f>SUM(J151:J157)</f>
        <v>35.573333333333323</v>
      </c>
      <c r="K158" s="278">
        <f>SUM(K151:K157)</f>
        <v>213.44</v>
      </c>
      <c r="L158" s="252"/>
      <c r="M158" s="252"/>
      <c r="N158" s="252"/>
    </row>
    <row r="159" spans="1:14" ht="15.6" x14ac:dyDescent="0.6">
      <c r="A159" s="252"/>
      <c r="B159" s="281" t="s">
        <v>62</v>
      </c>
      <c r="C159" s="257"/>
      <c r="D159" s="257"/>
      <c r="E159" s="280"/>
      <c r="F159" s="257"/>
      <c r="G159" s="257"/>
      <c r="H159" s="257"/>
      <c r="I159" s="276">
        <f>I148-I158</f>
        <v>393624.73750000005</v>
      </c>
      <c r="J159" s="277">
        <f>J148-J158</f>
        <v>65.604122916666682</v>
      </c>
      <c r="K159" s="278">
        <f>K148-K158</f>
        <v>393.62473749999998</v>
      </c>
      <c r="L159" s="252"/>
      <c r="M159" s="252"/>
      <c r="N159" s="252"/>
    </row>
    <row r="160" spans="1:14" ht="15.6" x14ac:dyDescent="0.6">
      <c r="A160" s="252"/>
      <c r="B160" s="282" t="s">
        <v>223</v>
      </c>
      <c r="C160" s="255"/>
      <c r="D160" s="255"/>
      <c r="E160" s="255"/>
      <c r="F160" s="255"/>
      <c r="G160" s="255"/>
      <c r="H160" s="255"/>
      <c r="I160" s="255"/>
      <c r="J160" s="255"/>
      <c r="K160" s="255"/>
      <c r="L160" s="252"/>
      <c r="M160" s="252"/>
      <c r="N160" s="252"/>
    </row>
    <row r="161" spans="1:14" ht="18.3" x14ac:dyDescent="0.7">
      <c r="A161" s="252"/>
      <c r="B161" s="253" t="s">
        <v>257</v>
      </c>
      <c r="C161" s="252"/>
      <c r="D161" s="252"/>
      <c r="E161" s="252"/>
      <c r="F161" s="252"/>
      <c r="G161" s="252"/>
      <c r="H161" s="252"/>
      <c r="I161" s="252"/>
      <c r="J161" s="252"/>
      <c r="K161" s="252"/>
      <c r="L161" s="252"/>
      <c r="M161" s="252"/>
      <c r="N161" s="252"/>
    </row>
    <row r="162" spans="1:14" ht="17.7" x14ac:dyDescent="0.6">
      <c r="A162" s="252"/>
      <c r="B162" s="256"/>
      <c r="C162" s="257"/>
      <c r="D162" s="257"/>
      <c r="E162" s="257"/>
      <c r="F162" s="257"/>
      <c r="G162" s="257"/>
      <c r="H162" s="257"/>
      <c r="I162" s="258" t="s">
        <v>46</v>
      </c>
      <c r="J162" s="258" t="s">
        <v>78</v>
      </c>
      <c r="K162" s="258" t="s">
        <v>87</v>
      </c>
      <c r="L162" s="252"/>
      <c r="M162" s="252"/>
      <c r="N162" s="252"/>
    </row>
    <row r="163" spans="1:14" ht="15.6" x14ac:dyDescent="0.6">
      <c r="A163" s="252"/>
      <c r="B163" s="66" t="s">
        <v>18</v>
      </c>
      <c r="C163" s="259"/>
      <c r="D163" s="259"/>
      <c r="E163" s="259"/>
      <c r="F163" s="259"/>
      <c r="G163" s="259"/>
      <c r="H163" s="259"/>
      <c r="I163" s="198" t="s">
        <v>48</v>
      </c>
      <c r="J163" s="198" t="s">
        <v>49</v>
      </c>
      <c r="K163" s="198" t="s">
        <v>50</v>
      </c>
      <c r="L163" s="252"/>
      <c r="M163" s="252"/>
      <c r="N163" s="252"/>
    </row>
    <row r="164" spans="1:14" ht="15.6" x14ac:dyDescent="0.6">
      <c r="A164" s="252"/>
      <c r="B164" s="260" t="s">
        <v>4</v>
      </c>
      <c r="C164" s="259"/>
      <c r="D164" s="261">
        <f>$D$11</f>
        <v>6000</v>
      </c>
      <c r="E164" s="288" t="s">
        <v>212</v>
      </c>
      <c r="F164" s="325">
        <f>K46</f>
        <v>6.36</v>
      </c>
      <c r="G164" s="263">
        <f>L46</f>
        <v>9</v>
      </c>
      <c r="H164" s="264" t="s">
        <v>47</v>
      </c>
      <c r="I164" s="265">
        <f>CEILING(D164*F164*G164,10)</f>
        <v>343440</v>
      </c>
      <c r="J164" s="179">
        <f>I164/$D$5</f>
        <v>57.24</v>
      </c>
      <c r="K164" s="266">
        <f>I164/$D$4</f>
        <v>343.44</v>
      </c>
      <c r="L164" s="252"/>
      <c r="M164" s="252"/>
      <c r="N164" s="252"/>
    </row>
    <row r="165" spans="1:14" ht="15.6" x14ac:dyDescent="0.6">
      <c r="A165" s="252"/>
      <c r="B165" s="260"/>
      <c r="C165" s="259"/>
      <c r="D165" s="261"/>
      <c r="E165" s="314" t="s">
        <v>214</v>
      </c>
      <c r="F165" s="289"/>
      <c r="G165" s="263"/>
      <c r="H165" s="264"/>
      <c r="I165" s="265"/>
      <c r="J165" s="179"/>
      <c r="K165" s="266"/>
      <c r="L165" s="252"/>
      <c r="M165" s="252"/>
      <c r="N165" s="252"/>
    </row>
    <row r="166" spans="1:14" ht="15.6" x14ac:dyDescent="0.6">
      <c r="A166" s="252"/>
      <c r="B166" s="260" t="s">
        <v>22</v>
      </c>
      <c r="C166" s="259"/>
      <c r="D166" s="261"/>
      <c r="E166" s="327" t="s">
        <v>225</v>
      </c>
      <c r="F166" s="259"/>
      <c r="G166" s="259"/>
      <c r="H166" s="259"/>
      <c r="I166" s="265"/>
      <c r="J166" s="265"/>
      <c r="K166" s="265"/>
      <c r="L166" s="252"/>
      <c r="M166" s="252"/>
      <c r="N166" s="252"/>
    </row>
    <row r="167" spans="1:14" ht="15.6" x14ac:dyDescent="0.6">
      <c r="A167" s="252"/>
      <c r="B167" s="66"/>
      <c r="C167" s="267" t="s">
        <v>19</v>
      </c>
      <c r="D167" s="261">
        <f>D$17+D$11*'Step 3'!F142</f>
        <v>900</v>
      </c>
      <c r="E167" s="328">
        <f>-(D$17-D167)/D$17</f>
        <v>0</v>
      </c>
      <c r="F167" s="346">
        <f>G46</f>
        <v>40</v>
      </c>
      <c r="G167" s="259" t="s">
        <v>55</v>
      </c>
      <c r="H167" s="252"/>
      <c r="I167" s="265">
        <f>CEILING(D167*F167,10)</f>
        <v>36000</v>
      </c>
      <c r="J167" s="179">
        <f t="shared" ref="J167:J168" si="30">I167/$D$5</f>
        <v>6</v>
      </c>
      <c r="K167" s="266">
        <f t="shared" ref="K167:K168" si="31">I167/$D$4</f>
        <v>36</v>
      </c>
      <c r="L167" s="252"/>
      <c r="M167" s="252"/>
      <c r="N167" s="252"/>
    </row>
    <row r="168" spans="1:14" ht="15.6" x14ac:dyDescent="0.6">
      <c r="A168" s="252"/>
      <c r="B168" s="66"/>
      <c r="C168" s="267" t="s">
        <v>215</v>
      </c>
      <c r="D168" s="261">
        <f>D$18+D$12*'Step 3'!F142</f>
        <v>375</v>
      </c>
      <c r="E168" s="328">
        <f>-(D$18-D168)/D$18</f>
        <v>0</v>
      </c>
      <c r="F168" s="346">
        <f>H46</f>
        <v>40</v>
      </c>
      <c r="G168" s="259" t="s">
        <v>55</v>
      </c>
      <c r="H168" s="252"/>
      <c r="I168" s="265">
        <f>CEILING(D168*F168,10)</f>
        <v>15000</v>
      </c>
      <c r="J168" s="179">
        <f t="shared" si="30"/>
        <v>2.5</v>
      </c>
      <c r="K168" s="266">
        <f t="shared" si="31"/>
        <v>15</v>
      </c>
      <c r="L168" s="252"/>
      <c r="M168" s="252"/>
      <c r="N168" s="252"/>
    </row>
    <row r="169" spans="1:14" ht="15.6" x14ac:dyDescent="0.6">
      <c r="A169" s="252"/>
      <c r="B169" s="66"/>
      <c r="C169" s="267" t="s">
        <v>20</v>
      </c>
      <c r="D169" s="261"/>
      <c r="E169" s="326"/>
      <c r="F169" s="326"/>
      <c r="G169" s="326"/>
      <c r="I169" s="127"/>
      <c r="J169" s="127"/>
      <c r="K169" s="127"/>
      <c r="L169" s="252"/>
      <c r="M169" s="252"/>
      <c r="N169" s="252"/>
    </row>
    <row r="170" spans="1:14" ht="15.6" x14ac:dyDescent="0.6">
      <c r="A170" s="252"/>
      <c r="B170" s="66"/>
      <c r="C170" s="273" t="s">
        <v>216</v>
      </c>
      <c r="D170" s="261">
        <f>D$59*D46</f>
        <v>5400</v>
      </c>
      <c r="E170" s="326"/>
      <c r="F170" s="269"/>
      <c r="G170" s="259"/>
      <c r="H170" s="252"/>
      <c r="I170" s="265"/>
      <c r="J170" s="179"/>
      <c r="K170" s="266"/>
      <c r="L170" s="252"/>
      <c r="M170" s="252"/>
      <c r="N170" s="252"/>
    </row>
    <row r="171" spans="1:14" ht="15.6" x14ac:dyDescent="0.6">
      <c r="A171" s="252"/>
      <c r="B171" s="66"/>
      <c r="C171" s="273" t="s">
        <v>98</v>
      </c>
      <c r="D171" s="261">
        <f>-D$11*E46</f>
        <v>-300</v>
      </c>
      <c r="E171" s="326"/>
      <c r="F171" s="269"/>
      <c r="G171" s="259"/>
      <c r="H171" s="252"/>
      <c r="I171" s="265"/>
      <c r="J171" s="179"/>
      <c r="K171" s="266"/>
      <c r="L171" s="252"/>
      <c r="M171" s="252"/>
      <c r="N171" s="252"/>
    </row>
    <row r="172" spans="1:14" ht="15.6" x14ac:dyDescent="0.6">
      <c r="A172" s="252"/>
      <c r="B172" s="66"/>
      <c r="C172" s="273" t="s">
        <v>222</v>
      </c>
      <c r="D172" s="261">
        <f>-D167</f>
        <v>-900</v>
      </c>
      <c r="E172" s="326"/>
      <c r="F172" s="269"/>
      <c r="G172" s="259"/>
      <c r="H172" s="252"/>
      <c r="I172" s="265"/>
      <c r="J172" s="179"/>
      <c r="K172" s="266"/>
      <c r="L172" s="252"/>
      <c r="M172" s="252"/>
      <c r="N172" s="252"/>
    </row>
    <row r="173" spans="1:14" ht="15.6" x14ac:dyDescent="0.6">
      <c r="A173" s="252"/>
      <c r="B173" s="66"/>
      <c r="C173" s="273" t="s">
        <v>210</v>
      </c>
      <c r="D173" s="261">
        <f>-D$12*F46</f>
        <v>-50</v>
      </c>
      <c r="E173" s="326"/>
      <c r="F173" s="269"/>
      <c r="G173" s="259"/>
      <c r="H173" s="252"/>
      <c r="I173" s="265"/>
      <c r="J173" s="179"/>
      <c r="K173" s="266"/>
      <c r="L173" s="252"/>
      <c r="M173" s="252"/>
      <c r="N173" s="252"/>
    </row>
    <row r="174" spans="1:14" ht="15.6" x14ac:dyDescent="0.6">
      <c r="A174" s="252"/>
      <c r="B174" s="66"/>
      <c r="C174" s="273" t="s">
        <v>217</v>
      </c>
      <c r="D174" s="285">
        <f>-D168</f>
        <v>-375</v>
      </c>
      <c r="E174" s="326"/>
      <c r="F174" s="269"/>
      <c r="G174" s="259"/>
      <c r="H174" s="252"/>
      <c r="I174" s="265"/>
      <c r="J174" s="179"/>
      <c r="K174" s="266"/>
      <c r="L174" s="252"/>
      <c r="M174" s="252"/>
      <c r="N174" s="252"/>
    </row>
    <row r="175" spans="1:14" ht="15.6" x14ac:dyDescent="0.6">
      <c r="A175" s="252"/>
      <c r="B175" s="66"/>
      <c r="C175" s="267"/>
      <c r="D175" s="261">
        <f>SUM(D170:D174)</f>
        <v>3775</v>
      </c>
      <c r="E175" s="329">
        <f>-(D$19-D175)/D$19</f>
        <v>0</v>
      </c>
      <c r="F175" s="346">
        <f>I46</f>
        <v>60</v>
      </c>
      <c r="G175" s="259" t="s">
        <v>55</v>
      </c>
      <c r="H175" s="252"/>
      <c r="I175" s="265">
        <f>D175*F175</f>
        <v>226500</v>
      </c>
      <c r="J175" s="179">
        <f>I175/$D$5</f>
        <v>37.75</v>
      </c>
      <c r="K175" s="266">
        <f>I175/$D$4</f>
        <v>226.5</v>
      </c>
      <c r="L175" s="252"/>
      <c r="M175" s="252"/>
      <c r="N175" s="252"/>
    </row>
    <row r="176" spans="1:14" ht="15.6" x14ac:dyDescent="0.6">
      <c r="A176" s="252"/>
      <c r="B176" s="66"/>
      <c r="C176" s="267" t="s">
        <v>21</v>
      </c>
      <c r="D176" s="261">
        <f>D$25</f>
        <v>12</v>
      </c>
      <c r="E176" s="268" t="s">
        <v>57</v>
      </c>
      <c r="F176" s="346">
        <f>J46</f>
        <v>40</v>
      </c>
      <c r="G176" s="259" t="s">
        <v>55</v>
      </c>
      <c r="H176" s="252"/>
      <c r="I176" s="270">
        <f>CEILING(D176*F176,10)</f>
        <v>480</v>
      </c>
      <c r="J176" s="271">
        <f t="shared" ref="J176" si="32">I176/$D$5</f>
        <v>0.08</v>
      </c>
      <c r="K176" s="272">
        <f t="shared" ref="K176:K177" si="33">I176/$D$4</f>
        <v>0.48</v>
      </c>
      <c r="L176" s="252"/>
      <c r="M176" s="252"/>
      <c r="N176" s="252"/>
    </row>
    <row r="177" spans="1:14" ht="15.6" x14ac:dyDescent="0.6">
      <c r="A177" s="252"/>
      <c r="B177" s="66"/>
      <c r="C177" s="267"/>
      <c r="D177" s="267"/>
      <c r="E177" s="268"/>
      <c r="F177" s="268"/>
      <c r="G177" s="259"/>
      <c r="H177" s="259"/>
      <c r="I177" s="265">
        <f>SUM(I167:I176)</f>
        <v>277980</v>
      </c>
      <c r="J177" s="179">
        <f>I177/$D$5</f>
        <v>46.33</v>
      </c>
      <c r="K177" s="266">
        <f t="shared" si="33"/>
        <v>277.98</v>
      </c>
      <c r="L177" s="252"/>
      <c r="M177" s="252"/>
      <c r="N177" s="252"/>
    </row>
    <row r="178" spans="1:14" ht="15.6" x14ac:dyDescent="0.6">
      <c r="A178" s="252"/>
      <c r="B178" s="260" t="s">
        <v>28</v>
      </c>
      <c r="C178" s="273"/>
      <c r="D178" s="273"/>
      <c r="E178" s="268"/>
      <c r="F178" s="268"/>
      <c r="G178" s="259"/>
      <c r="H178" s="259"/>
      <c r="I178" s="265"/>
      <c r="J178" s="265"/>
      <c r="K178" s="265"/>
      <c r="L178" s="252"/>
      <c r="M178" s="252"/>
      <c r="N178" s="252"/>
    </row>
    <row r="179" spans="1:14" ht="15.6" x14ac:dyDescent="0.6">
      <c r="A179" s="252"/>
      <c r="B179" s="274"/>
      <c r="C179" s="267" t="s">
        <v>1</v>
      </c>
      <c r="D179" s="261" t="s">
        <v>99</v>
      </c>
      <c r="E179" s="268"/>
      <c r="F179" s="268"/>
      <c r="G179" s="259"/>
      <c r="H179" s="259"/>
      <c r="I179" s="266">
        <v>0</v>
      </c>
      <c r="J179" s="179">
        <f t="shared" ref="J179:J182" si="34">I179/$D$5</f>
        <v>0</v>
      </c>
      <c r="K179" s="266">
        <f t="shared" ref="K179:K182" si="35">I179/$D$4</f>
        <v>0</v>
      </c>
      <c r="L179" s="252"/>
      <c r="M179" s="252"/>
      <c r="N179" s="252"/>
    </row>
    <row r="180" spans="1:14" ht="15.6" x14ac:dyDescent="0.6">
      <c r="A180" s="252"/>
      <c r="B180" s="274"/>
      <c r="C180" s="267" t="s">
        <v>133</v>
      </c>
      <c r="D180" s="261" t="s">
        <v>134</v>
      </c>
      <c r="E180" s="268"/>
      <c r="F180" s="268"/>
      <c r="G180" s="259"/>
      <c r="H180" s="259"/>
      <c r="I180" s="266">
        <v>0</v>
      </c>
      <c r="J180" s="179">
        <f t="shared" si="34"/>
        <v>0</v>
      </c>
      <c r="K180" s="266">
        <f t="shared" si="35"/>
        <v>0</v>
      </c>
      <c r="L180" s="252"/>
      <c r="M180" s="252"/>
      <c r="N180" s="252"/>
    </row>
    <row r="181" spans="1:14" ht="15.6" x14ac:dyDescent="0.6">
      <c r="A181" s="252"/>
      <c r="B181" s="274"/>
      <c r="C181" s="267" t="s">
        <v>2</v>
      </c>
      <c r="D181" s="261">
        <f>D$25</f>
        <v>12</v>
      </c>
      <c r="E181" s="268" t="s">
        <v>57</v>
      </c>
      <c r="F181" s="269">
        <f>F$25</f>
        <v>800</v>
      </c>
      <c r="G181" s="259" t="s">
        <v>58</v>
      </c>
      <c r="H181" s="259"/>
      <c r="I181" s="272">
        <f>CEILING(-D181*F181,10)</f>
        <v>-9600</v>
      </c>
      <c r="J181" s="271">
        <f t="shared" si="34"/>
        <v>-1.6</v>
      </c>
      <c r="K181" s="272">
        <f t="shared" si="35"/>
        <v>-9.6</v>
      </c>
      <c r="L181" s="252"/>
      <c r="M181" s="252"/>
      <c r="N181" s="252"/>
    </row>
    <row r="182" spans="1:14" ht="15.6" x14ac:dyDescent="0.6">
      <c r="A182" s="252"/>
      <c r="B182" s="66"/>
      <c r="C182" s="273"/>
      <c r="D182" s="273"/>
      <c r="E182" s="273"/>
      <c r="F182" s="273"/>
      <c r="G182" s="273"/>
      <c r="H182" s="273"/>
      <c r="I182" s="266">
        <f>SUM(I179:I181)</f>
        <v>-9600</v>
      </c>
      <c r="J182" s="179">
        <f t="shared" si="34"/>
        <v>-1.6</v>
      </c>
      <c r="K182" s="266">
        <f t="shared" si="35"/>
        <v>-9.6</v>
      </c>
      <c r="L182" s="252"/>
      <c r="M182" s="252"/>
      <c r="N182" s="252"/>
    </row>
    <row r="183" spans="1:14" ht="15.6" x14ac:dyDescent="0.6">
      <c r="A183" s="252"/>
      <c r="B183" s="275" t="s">
        <v>0</v>
      </c>
      <c r="C183" s="257"/>
      <c r="D183" s="257"/>
      <c r="E183" s="257"/>
      <c r="F183" s="257"/>
      <c r="G183" s="257"/>
      <c r="H183" s="257"/>
      <c r="I183" s="276">
        <f>I164+I177+I182</f>
        <v>611820</v>
      </c>
      <c r="J183" s="277">
        <f>J164+J177+J182</f>
        <v>101.97</v>
      </c>
      <c r="K183" s="278">
        <f>K164+K177+K182</f>
        <v>611.82000000000005</v>
      </c>
      <c r="L183" s="252"/>
      <c r="M183" s="252"/>
      <c r="N183" s="252"/>
    </row>
    <row r="184" spans="1:14" ht="15.6" x14ac:dyDescent="0.6">
      <c r="A184" s="252"/>
      <c r="B184" s="66" t="s">
        <v>23</v>
      </c>
      <c r="C184" s="259"/>
      <c r="D184" s="259"/>
      <c r="E184" s="259"/>
      <c r="F184" s="259"/>
      <c r="G184" s="259"/>
      <c r="H184" s="259"/>
      <c r="I184" s="198" t="s">
        <v>48</v>
      </c>
      <c r="J184" s="198" t="s">
        <v>49</v>
      </c>
      <c r="K184" s="198" t="s">
        <v>50</v>
      </c>
      <c r="L184" s="252"/>
      <c r="M184" s="252"/>
      <c r="N184" s="252"/>
    </row>
    <row r="185" spans="1:14" ht="15.6" x14ac:dyDescent="0.6">
      <c r="A185" s="252"/>
      <c r="B185" s="260" t="s">
        <v>3</v>
      </c>
      <c r="C185" s="259"/>
      <c r="D185" s="259"/>
      <c r="E185" s="259"/>
      <c r="F185" s="259"/>
      <c r="G185" s="259"/>
      <c r="L185" s="252"/>
      <c r="M185" s="252"/>
      <c r="N185" s="252"/>
    </row>
    <row r="186" spans="1:14" ht="15.6" x14ac:dyDescent="0.6">
      <c r="A186" s="252"/>
      <c r="B186" s="260"/>
      <c r="C186" s="259" t="s">
        <v>224</v>
      </c>
      <c r="D186" s="261">
        <f>D$15</f>
        <v>10185</v>
      </c>
      <c r="E186" s="262" t="s">
        <v>57</v>
      </c>
      <c r="F186" s="263">
        <f>F$30</f>
        <v>3.5</v>
      </c>
      <c r="G186" s="264" t="s">
        <v>204</v>
      </c>
      <c r="H186" s="259"/>
      <c r="I186" s="265">
        <f>CEILING(D186*F186,10)</f>
        <v>35650</v>
      </c>
      <c r="J186" s="179">
        <f>I186/$D$5</f>
        <v>5.9416666666666664</v>
      </c>
      <c r="K186" s="266">
        <f>I186/$D$4</f>
        <v>35.65</v>
      </c>
      <c r="L186" s="252"/>
      <c r="M186" s="252"/>
      <c r="N186" s="252"/>
    </row>
    <row r="187" spans="1:14" ht="15.6" x14ac:dyDescent="0.6">
      <c r="A187" s="252"/>
      <c r="B187" s="260"/>
      <c r="C187" s="259" t="s">
        <v>135</v>
      </c>
      <c r="D187" s="261">
        <f>D170</f>
        <v>5400</v>
      </c>
      <c r="E187" s="262" t="s">
        <v>57</v>
      </c>
      <c r="F187" s="263">
        <f>F$31</f>
        <v>3.5</v>
      </c>
      <c r="G187" s="264" t="s">
        <v>204</v>
      </c>
      <c r="H187" s="259"/>
      <c r="I187" s="265">
        <f>CEILING(D187*F187,10)</f>
        <v>18900</v>
      </c>
      <c r="J187" s="179">
        <f>I187/$D$5</f>
        <v>3.15</v>
      </c>
      <c r="K187" s="266">
        <f>I187/$D$4</f>
        <v>18.899999999999999</v>
      </c>
      <c r="L187" s="252"/>
      <c r="M187" s="252"/>
      <c r="N187" s="252"/>
    </row>
    <row r="188" spans="1:14" ht="15.6" x14ac:dyDescent="0.6">
      <c r="A188" s="252"/>
      <c r="B188" s="260" t="s">
        <v>97</v>
      </c>
      <c r="C188" s="259"/>
      <c r="D188" s="261">
        <f>D186</f>
        <v>10185</v>
      </c>
      <c r="E188" s="262" t="s">
        <v>57</v>
      </c>
      <c r="F188" s="263">
        <f>I188/D188</f>
        <v>0</v>
      </c>
      <c r="G188" s="264" t="s">
        <v>204</v>
      </c>
      <c r="H188" s="259"/>
      <c r="I188" s="265">
        <f>'Step 3'!F89</f>
        <v>0</v>
      </c>
      <c r="J188" s="179">
        <f t="shared" ref="J188:J192" si="36">I188/$D$5</f>
        <v>0</v>
      </c>
      <c r="K188" s="266">
        <f t="shared" ref="K188:K192" si="37">I188/$D$4</f>
        <v>0</v>
      </c>
      <c r="L188" s="252"/>
      <c r="M188" s="252"/>
      <c r="N188" s="252"/>
    </row>
    <row r="189" spans="1:14" ht="15.6" x14ac:dyDescent="0.6">
      <c r="A189" s="252"/>
      <c r="B189" s="260" t="s">
        <v>24</v>
      </c>
      <c r="C189" s="259"/>
      <c r="D189" s="261">
        <f>D186</f>
        <v>10185</v>
      </c>
      <c r="E189" s="262" t="str">
        <f>E186</f>
        <v>hd @</v>
      </c>
      <c r="F189" s="263">
        <f>F$33</f>
        <v>6.5</v>
      </c>
      <c r="G189" s="264" t="s">
        <v>204</v>
      </c>
      <c r="H189" s="259"/>
      <c r="I189" s="265">
        <f>CEILING(D189*F189,10)</f>
        <v>66210</v>
      </c>
      <c r="J189" s="179">
        <f t="shared" si="36"/>
        <v>11.035</v>
      </c>
      <c r="K189" s="266">
        <f t="shared" si="37"/>
        <v>66.209999999999994</v>
      </c>
      <c r="L189" s="252"/>
      <c r="M189" s="252"/>
      <c r="N189" s="252"/>
    </row>
    <row r="190" spans="1:14" ht="15.6" x14ac:dyDescent="0.6">
      <c r="A190" s="252"/>
      <c r="B190" s="260" t="s">
        <v>25</v>
      </c>
      <c r="C190" s="259"/>
      <c r="D190" s="279">
        <f>D164*F164/170</f>
        <v>224.47058823529412</v>
      </c>
      <c r="E190" s="262" t="s">
        <v>59</v>
      </c>
      <c r="F190" s="263">
        <f>F$34</f>
        <v>20</v>
      </c>
      <c r="G190" s="264" t="s">
        <v>60</v>
      </c>
      <c r="H190" s="259"/>
      <c r="I190" s="265">
        <f>CEILING(D190*F190,10)</f>
        <v>4490</v>
      </c>
      <c r="J190" s="179">
        <f t="shared" si="36"/>
        <v>0.74833333333333329</v>
      </c>
      <c r="K190" s="266">
        <f t="shared" si="37"/>
        <v>4.49</v>
      </c>
      <c r="L190" s="252"/>
      <c r="M190" s="252"/>
      <c r="N190" s="252"/>
    </row>
    <row r="191" spans="1:14" ht="15.6" x14ac:dyDescent="0.6">
      <c r="A191" s="252"/>
      <c r="B191" s="260" t="s">
        <v>26</v>
      </c>
      <c r="C191" s="259"/>
      <c r="D191" s="259"/>
      <c r="E191" s="259"/>
      <c r="F191" s="263">
        <f>F$35</f>
        <v>15</v>
      </c>
      <c r="G191" s="264" t="s">
        <v>60</v>
      </c>
      <c r="H191" s="259"/>
      <c r="I191" s="265">
        <f>CEILING(D190*F191,10)</f>
        <v>3370</v>
      </c>
      <c r="J191" s="179">
        <f t="shared" si="36"/>
        <v>0.56166666666666665</v>
      </c>
      <c r="K191" s="266">
        <f t="shared" si="37"/>
        <v>3.37</v>
      </c>
      <c r="L191" s="252"/>
      <c r="M191" s="252"/>
      <c r="N191" s="252"/>
    </row>
    <row r="192" spans="1:14" ht="15.6" x14ac:dyDescent="0.6">
      <c r="A192" s="252"/>
      <c r="B192" s="260" t="s">
        <v>27</v>
      </c>
      <c r="C192" s="259"/>
      <c r="D192" s="261">
        <f>D167+D168+D175+D176+D181</f>
        <v>5074</v>
      </c>
      <c r="E192" s="268" t="s">
        <v>57</v>
      </c>
      <c r="F192" s="263">
        <f>F$36</f>
        <v>2</v>
      </c>
      <c r="G192" s="264" t="s">
        <v>61</v>
      </c>
      <c r="H192" s="259"/>
      <c r="I192" s="265">
        <f>CEILING(D192*F192,10)</f>
        <v>10150</v>
      </c>
      <c r="J192" s="179">
        <f t="shared" si="36"/>
        <v>1.6916666666666667</v>
      </c>
      <c r="K192" s="266">
        <f t="shared" si="37"/>
        <v>10.15</v>
      </c>
      <c r="L192" s="252"/>
      <c r="M192" s="252"/>
      <c r="N192" s="252"/>
    </row>
    <row r="193" spans="1:14" ht="15.6" x14ac:dyDescent="0.6">
      <c r="A193" s="252"/>
      <c r="B193" s="275" t="s">
        <v>41</v>
      </c>
      <c r="C193" s="257"/>
      <c r="D193" s="257"/>
      <c r="E193" s="280"/>
      <c r="F193" s="257"/>
      <c r="G193" s="257"/>
      <c r="H193" s="257"/>
      <c r="I193" s="276">
        <f>SUM(I186:I192)</f>
        <v>138770</v>
      </c>
      <c r="J193" s="277">
        <f>SUM(J186:J192)</f>
        <v>23.128333333333334</v>
      </c>
      <c r="K193" s="278">
        <f>SUM(K186:K192)</f>
        <v>138.76999999999998</v>
      </c>
      <c r="L193" s="252"/>
      <c r="M193" s="252"/>
      <c r="N193" s="252"/>
    </row>
    <row r="194" spans="1:14" ht="15.6" x14ac:dyDescent="0.6">
      <c r="A194" s="252"/>
      <c r="B194" s="281" t="s">
        <v>62</v>
      </c>
      <c r="C194" s="257"/>
      <c r="D194" s="257"/>
      <c r="E194" s="280"/>
      <c r="F194" s="257"/>
      <c r="G194" s="257"/>
      <c r="H194" s="257"/>
      <c r="I194" s="276">
        <f>I183-I193</f>
        <v>473050</v>
      </c>
      <c r="J194" s="277">
        <f>J183-J193</f>
        <v>78.841666666666669</v>
      </c>
      <c r="K194" s="278">
        <f>K183-K193</f>
        <v>473.05000000000007</v>
      </c>
      <c r="L194" s="252"/>
      <c r="M194" s="252"/>
      <c r="N194" s="252"/>
    </row>
    <row r="195" spans="1:14" ht="15.6" x14ac:dyDescent="0.6">
      <c r="A195" s="252"/>
      <c r="B195" s="282"/>
      <c r="C195" s="255"/>
      <c r="D195" s="255"/>
      <c r="E195" s="255"/>
      <c r="F195" s="255"/>
      <c r="G195" s="255"/>
      <c r="H195" s="255"/>
      <c r="I195" s="255"/>
      <c r="J195" s="255"/>
      <c r="K195" s="255"/>
      <c r="L195" s="252"/>
      <c r="M195" s="252"/>
      <c r="N195" s="252"/>
    </row>
    <row r="196" spans="1:14" ht="18.3" x14ac:dyDescent="0.7">
      <c r="A196" s="252"/>
      <c r="B196" s="253" t="s">
        <v>258</v>
      </c>
      <c r="C196" s="252"/>
      <c r="D196" s="252"/>
      <c r="E196" s="252"/>
      <c r="F196" s="252"/>
      <c r="G196" s="252"/>
      <c r="H196" s="252"/>
      <c r="I196" s="252"/>
      <c r="J196" s="252"/>
      <c r="K196" s="252"/>
      <c r="L196" s="252"/>
      <c r="M196" s="252"/>
      <c r="N196" s="252"/>
    </row>
    <row r="197" spans="1:14" ht="17.7" x14ac:dyDescent="0.6">
      <c r="A197" s="252"/>
      <c r="B197" s="256"/>
      <c r="C197" s="257"/>
      <c r="D197" s="257"/>
      <c r="E197" s="257"/>
      <c r="F197" s="257"/>
      <c r="G197" s="257"/>
      <c r="H197" s="257"/>
      <c r="I197" s="258" t="s">
        <v>46</v>
      </c>
      <c r="J197" s="258" t="s">
        <v>78</v>
      </c>
      <c r="K197" s="258" t="s">
        <v>87</v>
      </c>
      <c r="L197" s="252"/>
      <c r="M197" s="252"/>
      <c r="N197" s="252"/>
    </row>
    <row r="198" spans="1:14" ht="15.6" x14ac:dyDescent="0.6">
      <c r="A198" s="252"/>
      <c r="B198" s="66" t="s">
        <v>18</v>
      </c>
      <c r="C198" s="259"/>
      <c r="D198" s="259"/>
      <c r="E198" s="259"/>
      <c r="F198" s="259"/>
      <c r="G198" s="259"/>
      <c r="H198" s="259"/>
      <c r="I198" s="198" t="s">
        <v>48</v>
      </c>
      <c r="J198" s="198" t="s">
        <v>49</v>
      </c>
      <c r="K198" s="198" t="s">
        <v>50</v>
      </c>
      <c r="L198" s="252"/>
      <c r="M198" s="252"/>
      <c r="N198" s="252"/>
    </row>
    <row r="199" spans="1:14" ht="15.6" x14ac:dyDescent="0.6">
      <c r="A199" s="252"/>
      <c r="B199" s="260" t="s">
        <v>4</v>
      </c>
      <c r="C199" s="259"/>
      <c r="D199" s="261">
        <f>$D$11</f>
        <v>6000</v>
      </c>
      <c r="E199" s="288" t="s">
        <v>212</v>
      </c>
      <c r="F199" s="325">
        <f>K47</f>
        <v>6.36</v>
      </c>
      <c r="G199" s="263">
        <f>L47</f>
        <v>9</v>
      </c>
      <c r="H199" s="264" t="s">
        <v>47</v>
      </c>
      <c r="I199" s="265">
        <f>CEILING(D199*F199*G199,10)</f>
        <v>343440</v>
      </c>
      <c r="J199" s="179">
        <f>I199/$D$5</f>
        <v>57.24</v>
      </c>
      <c r="K199" s="266">
        <f>I199/$D$4</f>
        <v>343.44</v>
      </c>
      <c r="L199" s="252"/>
      <c r="M199" s="252"/>
      <c r="N199" s="252"/>
    </row>
    <row r="200" spans="1:14" ht="15.6" x14ac:dyDescent="0.6">
      <c r="A200" s="252"/>
      <c r="B200" s="260"/>
      <c r="C200" s="259"/>
      <c r="D200" s="261"/>
      <c r="E200" s="314" t="s">
        <v>214</v>
      </c>
      <c r="F200" s="289"/>
      <c r="G200" s="263"/>
      <c r="H200" s="264"/>
      <c r="I200" s="265"/>
      <c r="J200" s="179"/>
      <c r="K200" s="266"/>
      <c r="L200" s="252"/>
      <c r="M200" s="252"/>
      <c r="N200" s="252"/>
    </row>
    <row r="201" spans="1:14" ht="15.6" x14ac:dyDescent="0.6">
      <c r="A201" s="252"/>
      <c r="B201" s="260" t="s">
        <v>22</v>
      </c>
      <c r="C201" s="259"/>
      <c r="D201" s="261"/>
      <c r="E201" s="327" t="s">
        <v>225</v>
      </c>
      <c r="F201" s="259"/>
      <c r="G201" s="259"/>
      <c r="H201" s="259"/>
      <c r="I201" s="265"/>
      <c r="J201" s="265"/>
      <c r="K201" s="265"/>
      <c r="L201" s="252"/>
      <c r="M201" s="252"/>
      <c r="N201" s="252"/>
    </row>
    <row r="202" spans="1:14" ht="15.6" x14ac:dyDescent="0.6">
      <c r="A202" s="252"/>
      <c r="B202" s="66"/>
      <c r="C202" s="267" t="s">
        <v>19</v>
      </c>
      <c r="D202" s="261">
        <f>D$17+D$11*'Step 3'!F143</f>
        <v>900</v>
      </c>
      <c r="E202" s="328">
        <f>-(D$17-D202)/D$17</f>
        <v>0</v>
      </c>
      <c r="F202" s="346">
        <f>G47</f>
        <v>40</v>
      </c>
      <c r="G202" s="259" t="s">
        <v>55</v>
      </c>
      <c r="H202" s="252"/>
      <c r="I202" s="265">
        <f>CEILING(D202*F202,10)</f>
        <v>36000</v>
      </c>
      <c r="J202" s="179">
        <f t="shared" ref="J202:J203" si="38">I202/$D$5</f>
        <v>6</v>
      </c>
      <c r="K202" s="266">
        <f t="shared" ref="K202:K203" si="39">I202/$D$4</f>
        <v>36</v>
      </c>
      <c r="L202" s="252"/>
      <c r="M202" s="252"/>
      <c r="N202" s="252"/>
    </row>
    <row r="203" spans="1:14" ht="15.6" x14ac:dyDescent="0.6">
      <c r="A203" s="252"/>
      <c r="B203" s="66"/>
      <c r="C203" s="267" t="s">
        <v>215</v>
      </c>
      <c r="D203" s="261">
        <f>D$18+D$12*'Step 3'!F143</f>
        <v>375</v>
      </c>
      <c r="E203" s="328">
        <f>-(D$18-D203)/D$18</f>
        <v>0</v>
      </c>
      <c r="F203" s="346">
        <f>H47</f>
        <v>40</v>
      </c>
      <c r="G203" s="259" t="s">
        <v>55</v>
      </c>
      <c r="H203" s="252"/>
      <c r="I203" s="265">
        <f>CEILING(D203*F203,10)</f>
        <v>15000</v>
      </c>
      <c r="J203" s="179">
        <f t="shared" si="38"/>
        <v>2.5</v>
      </c>
      <c r="K203" s="266">
        <f t="shared" si="39"/>
        <v>15</v>
      </c>
      <c r="L203" s="252"/>
      <c r="M203" s="252"/>
      <c r="N203" s="252"/>
    </row>
    <row r="204" spans="1:14" ht="15.6" x14ac:dyDescent="0.6">
      <c r="A204" s="252"/>
      <c r="B204" s="66"/>
      <c r="C204" s="267" t="s">
        <v>20</v>
      </c>
      <c r="D204" s="261"/>
      <c r="E204" s="326"/>
      <c r="F204" s="326"/>
      <c r="G204" s="326"/>
      <c r="I204" s="127"/>
      <c r="J204" s="127"/>
      <c r="K204" s="127"/>
      <c r="L204" s="252"/>
      <c r="M204" s="252"/>
      <c r="N204" s="252"/>
    </row>
    <row r="205" spans="1:14" ht="15.6" x14ac:dyDescent="0.6">
      <c r="A205" s="252"/>
      <c r="B205" s="66"/>
      <c r="C205" s="273" t="s">
        <v>216</v>
      </c>
      <c r="D205" s="261">
        <f>D$59*D47</f>
        <v>5400</v>
      </c>
      <c r="E205" s="326"/>
      <c r="F205" s="269"/>
      <c r="G205" s="259"/>
      <c r="H205" s="252"/>
      <c r="I205" s="265"/>
      <c r="J205" s="179"/>
      <c r="K205" s="266"/>
      <c r="L205" s="252"/>
      <c r="M205" s="252"/>
      <c r="N205" s="252"/>
    </row>
    <row r="206" spans="1:14" ht="15.6" x14ac:dyDescent="0.6">
      <c r="A206" s="252"/>
      <c r="B206" s="66"/>
      <c r="C206" s="273" t="s">
        <v>98</v>
      </c>
      <c r="D206" s="261">
        <f>-D$11*E47</f>
        <v>-300</v>
      </c>
      <c r="E206" s="326"/>
      <c r="F206" s="269"/>
      <c r="G206" s="259"/>
      <c r="H206" s="252"/>
      <c r="I206" s="265"/>
      <c r="J206" s="179"/>
      <c r="K206" s="266"/>
      <c r="L206" s="252"/>
      <c r="M206" s="252"/>
      <c r="N206" s="252"/>
    </row>
    <row r="207" spans="1:14" ht="15.6" x14ac:dyDescent="0.6">
      <c r="A207" s="252"/>
      <c r="B207" s="66"/>
      <c r="C207" s="273" t="s">
        <v>222</v>
      </c>
      <c r="D207" s="261">
        <f>-D202</f>
        <v>-900</v>
      </c>
      <c r="E207" s="326"/>
      <c r="F207" s="269"/>
      <c r="G207" s="259"/>
      <c r="H207" s="252"/>
      <c r="I207" s="265"/>
      <c r="J207" s="179"/>
      <c r="K207" s="266"/>
      <c r="L207" s="252"/>
      <c r="M207" s="252"/>
      <c r="N207" s="252"/>
    </row>
    <row r="208" spans="1:14" ht="15.6" x14ac:dyDescent="0.6">
      <c r="A208" s="252"/>
      <c r="B208" s="66"/>
      <c r="C208" s="273" t="s">
        <v>210</v>
      </c>
      <c r="D208" s="261">
        <f>-D$12*F47</f>
        <v>-50</v>
      </c>
      <c r="E208" s="326"/>
      <c r="F208" s="269"/>
      <c r="G208" s="259"/>
      <c r="H208" s="252"/>
      <c r="I208" s="265"/>
      <c r="J208" s="179"/>
      <c r="K208" s="266"/>
      <c r="L208" s="252"/>
      <c r="M208" s="252"/>
      <c r="N208" s="252"/>
    </row>
    <row r="209" spans="1:14" ht="15.6" x14ac:dyDescent="0.6">
      <c r="A209" s="252"/>
      <c r="B209" s="66"/>
      <c r="C209" s="273" t="s">
        <v>217</v>
      </c>
      <c r="D209" s="285">
        <f>-D203</f>
        <v>-375</v>
      </c>
      <c r="E209" s="326"/>
      <c r="F209" s="269"/>
      <c r="G209" s="259"/>
      <c r="H209" s="252"/>
      <c r="I209" s="265"/>
      <c r="J209" s="179"/>
      <c r="K209" s="266"/>
      <c r="L209" s="252"/>
      <c r="M209" s="252"/>
      <c r="N209" s="252"/>
    </row>
    <row r="210" spans="1:14" ht="15.6" x14ac:dyDescent="0.6">
      <c r="A210" s="252"/>
      <c r="B210" s="66"/>
      <c r="C210" s="267"/>
      <c r="D210" s="261">
        <f>SUM(D205:D209)</f>
        <v>3775</v>
      </c>
      <c r="E210" s="329">
        <f>-(D$19-D210)/D$19</f>
        <v>0</v>
      </c>
      <c r="F210" s="263">
        <f>I47</f>
        <v>60</v>
      </c>
      <c r="G210" s="259" t="s">
        <v>55</v>
      </c>
      <c r="H210" s="252"/>
      <c r="I210" s="265">
        <f>D210*F210</f>
        <v>226500</v>
      </c>
      <c r="J210" s="179">
        <f>I210/$D$5</f>
        <v>37.75</v>
      </c>
      <c r="K210" s="266">
        <f>I210/$D$4</f>
        <v>226.5</v>
      </c>
      <c r="L210" s="252"/>
      <c r="M210" s="252"/>
      <c r="N210" s="252"/>
    </row>
    <row r="211" spans="1:14" ht="15.6" x14ac:dyDescent="0.6">
      <c r="A211" s="252"/>
      <c r="B211" s="66"/>
      <c r="C211" s="267" t="s">
        <v>21</v>
      </c>
      <c r="D211" s="261">
        <f>D$25</f>
        <v>12</v>
      </c>
      <c r="E211" s="268" t="s">
        <v>57</v>
      </c>
      <c r="F211" s="263">
        <f>J47</f>
        <v>40</v>
      </c>
      <c r="G211" s="259" t="s">
        <v>55</v>
      </c>
      <c r="H211" s="252"/>
      <c r="I211" s="270">
        <f>CEILING(D211*F211,10)</f>
        <v>480</v>
      </c>
      <c r="J211" s="271">
        <f t="shared" ref="J211" si="40">I211/$D$5</f>
        <v>0.08</v>
      </c>
      <c r="K211" s="272">
        <f t="shared" ref="K211:K212" si="41">I211/$D$4</f>
        <v>0.48</v>
      </c>
      <c r="L211" s="252"/>
      <c r="M211" s="252"/>
      <c r="N211" s="252"/>
    </row>
    <row r="212" spans="1:14" ht="15.6" x14ac:dyDescent="0.6">
      <c r="A212" s="252"/>
      <c r="B212" s="66"/>
      <c r="C212" s="267"/>
      <c r="D212" s="267"/>
      <c r="E212" s="268"/>
      <c r="F212" s="268"/>
      <c r="G212" s="259"/>
      <c r="H212" s="259"/>
      <c r="I212" s="265">
        <f>SUM(I202:I211)</f>
        <v>277980</v>
      </c>
      <c r="J212" s="179">
        <f>I212/$D$5</f>
        <v>46.33</v>
      </c>
      <c r="K212" s="266">
        <f t="shared" si="41"/>
        <v>277.98</v>
      </c>
      <c r="L212" s="252"/>
      <c r="M212" s="252"/>
      <c r="N212" s="252"/>
    </row>
    <row r="213" spans="1:14" ht="15.6" x14ac:dyDescent="0.6">
      <c r="A213" s="252"/>
      <c r="B213" s="260" t="s">
        <v>28</v>
      </c>
      <c r="C213" s="273"/>
      <c r="D213" s="273"/>
      <c r="E213" s="268"/>
      <c r="F213" s="268"/>
      <c r="G213" s="259"/>
      <c r="H213" s="259"/>
      <c r="I213" s="265"/>
      <c r="J213" s="265"/>
      <c r="K213" s="265"/>
      <c r="L213" s="252"/>
      <c r="M213" s="252"/>
      <c r="N213" s="252"/>
    </row>
    <row r="214" spans="1:14" ht="15.6" x14ac:dyDescent="0.6">
      <c r="A214" s="252"/>
      <c r="B214" s="274"/>
      <c r="C214" s="267" t="s">
        <v>1</v>
      </c>
      <c r="D214" s="261" t="s">
        <v>99</v>
      </c>
      <c r="E214" s="268"/>
      <c r="F214" s="268"/>
      <c r="G214" s="259"/>
      <c r="H214" s="259"/>
      <c r="I214" s="266">
        <v>0</v>
      </c>
      <c r="J214" s="179">
        <f t="shared" ref="J214:J217" si="42">I214/$D$5</f>
        <v>0</v>
      </c>
      <c r="K214" s="266">
        <f t="shared" ref="K214:K217" si="43">I214/$D$4</f>
        <v>0</v>
      </c>
      <c r="L214" s="252"/>
      <c r="M214" s="252"/>
      <c r="N214" s="252"/>
    </row>
    <row r="215" spans="1:14" ht="15.6" x14ac:dyDescent="0.6">
      <c r="A215" s="252"/>
      <c r="B215" s="274"/>
      <c r="C215" s="267" t="s">
        <v>133</v>
      </c>
      <c r="D215" s="261" t="s">
        <v>134</v>
      </c>
      <c r="E215" s="268"/>
      <c r="F215" s="268"/>
      <c r="G215" s="259"/>
      <c r="H215" s="259"/>
      <c r="I215" s="266">
        <v>0</v>
      </c>
      <c r="J215" s="179">
        <f t="shared" si="42"/>
        <v>0</v>
      </c>
      <c r="K215" s="266">
        <f t="shared" si="43"/>
        <v>0</v>
      </c>
      <c r="L215" s="252"/>
      <c r="M215" s="252"/>
      <c r="N215" s="252"/>
    </row>
    <row r="216" spans="1:14" ht="15.6" x14ac:dyDescent="0.6">
      <c r="A216" s="252"/>
      <c r="B216" s="274"/>
      <c r="C216" s="267" t="s">
        <v>2</v>
      </c>
      <c r="D216" s="261">
        <f>D$25</f>
        <v>12</v>
      </c>
      <c r="E216" s="268" t="s">
        <v>57</v>
      </c>
      <c r="F216" s="269">
        <f>F$25</f>
        <v>800</v>
      </c>
      <c r="G216" s="259" t="s">
        <v>58</v>
      </c>
      <c r="H216" s="259"/>
      <c r="I216" s="272">
        <f>CEILING(-D216*F216,10)</f>
        <v>-9600</v>
      </c>
      <c r="J216" s="271">
        <f t="shared" si="42"/>
        <v>-1.6</v>
      </c>
      <c r="K216" s="272">
        <f t="shared" si="43"/>
        <v>-9.6</v>
      </c>
      <c r="L216" s="252"/>
      <c r="M216" s="252"/>
      <c r="N216" s="252"/>
    </row>
    <row r="217" spans="1:14" ht="15.6" x14ac:dyDescent="0.6">
      <c r="A217" s="252"/>
      <c r="B217" s="66"/>
      <c r="C217" s="273"/>
      <c r="D217" s="273"/>
      <c r="E217" s="273"/>
      <c r="F217" s="273"/>
      <c r="G217" s="273"/>
      <c r="H217" s="273"/>
      <c r="I217" s="266">
        <f>SUM(I214:I216)</f>
        <v>-9600</v>
      </c>
      <c r="J217" s="179">
        <f t="shared" si="42"/>
        <v>-1.6</v>
      </c>
      <c r="K217" s="266">
        <f t="shared" si="43"/>
        <v>-9.6</v>
      </c>
      <c r="L217" s="252"/>
      <c r="M217" s="252"/>
      <c r="N217" s="252"/>
    </row>
    <row r="218" spans="1:14" ht="15.6" x14ac:dyDescent="0.6">
      <c r="A218" s="252"/>
      <c r="B218" s="275" t="s">
        <v>0</v>
      </c>
      <c r="C218" s="257"/>
      <c r="D218" s="257"/>
      <c r="E218" s="257"/>
      <c r="F218" s="257"/>
      <c r="G218" s="257"/>
      <c r="H218" s="257"/>
      <c r="I218" s="276">
        <f>I199+I212+I217</f>
        <v>611820</v>
      </c>
      <c r="J218" s="277">
        <f>J199+J212+J217</f>
        <v>101.97</v>
      </c>
      <c r="K218" s="278">
        <f>K199+K212+K217</f>
        <v>611.82000000000005</v>
      </c>
      <c r="L218" s="252"/>
      <c r="M218" s="252"/>
      <c r="N218" s="252"/>
    </row>
    <row r="219" spans="1:14" ht="15.6" x14ac:dyDescent="0.6">
      <c r="A219" s="252"/>
      <c r="B219" s="66" t="s">
        <v>23</v>
      </c>
      <c r="C219" s="259"/>
      <c r="D219" s="259"/>
      <c r="E219" s="259"/>
      <c r="F219" s="259"/>
      <c r="G219" s="259"/>
      <c r="H219" s="259"/>
      <c r="I219" s="198" t="s">
        <v>48</v>
      </c>
      <c r="J219" s="198" t="s">
        <v>49</v>
      </c>
      <c r="K219" s="198" t="s">
        <v>50</v>
      </c>
      <c r="L219" s="252"/>
      <c r="M219" s="252"/>
      <c r="N219" s="252"/>
    </row>
    <row r="220" spans="1:14" ht="15.6" x14ac:dyDescent="0.6">
      <c r="A220" s="252"/>
      <c r="B220" s="260" t="s">
        <v>3</v>
      </c>
      <c r="C220" s="259"/>
      <c r="D220" s="259"/>
      <c r="E220" s="259"/>
      <c r="F220" s="259"/>
      <c r="G220" s="259"/>
      <c r="L220" s="252"/>
      <c r="M220" s="252"/>
      <c r="N220" s="252"/>
    </row>
    <row r="221" spans="1:14" ht="15.6" x14ac:dyDescent="0.6">
      <c r="A221" s="252"/>
      <c r="B221" s="260"/>
      <c r="C221" s="259" t="s">
        <v>224</v>
      </c>
      <c r="D221" s="261">
        <f>D$15</f>
        <v>10185</v>
      </c>
      <c r="E221" s="262" t="s">
        <v>57</v>
      </c>
      <c r="F221" s="263">
        <f>F$30</f>
        <v>3.5</v>
      </c>
      <c r="G221" s="264" t="s">
        <v>204</v>
      </c>
      <c r="H221" s="259"/>
      <c r="I221" s="265">
        <f>CEILING(D221*F221,10)</f>
        <v>35650</v>
      </c>
      <c r="J221" s="179">
        <f>I221/$D$5</f>
        <v>5.9416666666666664</v>
      </c>
      <c r="K221" s="266">
        <f>I221/$D$4</f>
        <v>35.65</v>
      </c>
      <c r="L221" s="252"/>
      <c r="M221" s="252"/>
      <c r="N221" s="252"/>
    </row>
    <row r="222" spans="1:14" ht="15.6" x14ac:dyDescent="0.6">
      <c r="A222" s="252"/>
      <c r="B222" s="260"/>
      <c r="C222" s="259" t="s">
        <v>135</v>
      </c>
      <c r="D222" s="261">
        <f>D205</f>
        <v>5400</v>
      </c>
      <c r="E222" s="262" t="s">
        <v>57</v>
      </c>
      <c r="F222" s="263">
        <f>F$31</f>
        <v>3.5</v>
      </c>
      <c r="G222" s="264" t="s">
        <v>204</v>
      </c>
      <c r="H222" s="259"/>
      <c r="I222" s="265">
        <f>CEILING(D222*F222,10)</f>
        <v>18900</v>
      </c>
      <c r="J222" s="179">
        <f>I222/$D$5</f>
        <v>3.15</v>
      </c>
      <c r="K222" s="266">
        <f>I222/$D$4</f>
        <v>18.899999999999999</v>
      </c>
      <c r="L222" s="252"/>
      <c r="M222" s="252"/>
      <c r="N222" s="252"/>
    </row>
    <row r="223" spans="1:14" ht="15.6" x14ac:dyDescent="0.6">
      <c r="A223" s="252"/>
      <c r="B223" s="260" t="s">
        <v>97</v>
      </c>
      <c r="C223" s="259"/>
      <c r="D223" s="261">
        <f>D221</f>
        <v>10185</v>
      </c>
      <c r="E223" s="262" t="s">
        <v>57</v>
      </c>
      <c r="F223" s="263">
        <f>I223/D223</f>
        <v>0</v>
      </c>
      <c r="G223" s="264" t="s">
        <v>204</v>
      </c>
      <c r="H223" s="259"/>
      <c r="I223" s="265">
        <f>'Step 3'!F90</f>
        <v>0</v>
      </c>
      <c r="J223" s="179">
        <f t="shared" ref="J223:J227" si="44">I223/$D$5</f>
        <v>0</v>
      </c>
      <c r="K223" s="266">
        <f t="shared" ref="K223:K227" si="45">I223/$D$4</f>
        <v>0</v>
      </c>
      <c r="L223" s="252"/>
      <c r="M223" s="252"/>
      <c r="N223" s="252"/>
    </row>
    <row r="224" spans="1:14" ht="15.6" x14ac:dyDescent="0.6">
      <c r="A224" s="252"/>
      <c r="B224" s="260" t="s">
        <v>24</v>
      </c>
      <c r="C224" s="259"/>
      <c r="D224" s="261">
        <f>D221</f>
        <v>10185</v>
      </c>
      <c r="E224" s="262" t="str">
        <f>E221</f>
        <v>hd @</v>
      </c>
      <c r="F224" s="263">
        <f>F$33</f>
        <v>6.5</v>
      </c>
      <c r="G224" s="264" t="s">
        <v>204</v>
      </c>
      <c r="H224" s="259"/>
      <c r="I224" s="265">
        <f>CEILING(D224*F224,10)</f>
        <v>66210</v>
      </c>
      <c r="J224" s="179">
        <f t="shared" si="44"/>
        <v>11.035</v>
      </c>
      <c r="K224" s="266">
        <f t="shared" si="45"/>
        <v>66.209999999999994</v>
      </c>
      <c r="L224" s="252"/>
      <c r="M224" s="252"/>
      <c r="N224" s="252"/>
    </row>
    <row r="225" spans="1:14" ht="15.6" x14ac:dyDescent="0.6">
      <c r="A225" s="252"/>
      <c r="B225" s="260" t="s">
        <v>25</v>
      </c>
      <c r="C225" s="259"/>
      <c r="D225" s="279">
        <f>D199*F199/170</f>
        <v>224.47058823529412</v>
      </c>
      <c r="E225" s="262" t="s">
        <v>59</v>
      </c>
      <c r="F225" s="263">
        <f>F$34</f>
        <v>20</v>
      </c>
      <c r="G225" s="264" t="s">
        <v>60</v>
      </c>
      <c r="H225" s="259"/>
      <c r="I225" s="265">
        <f>CEILING(D225*F225,10)</f>
        <v>4490</v>
      </c>
      <c r="J225" s="179">
        <f t="shared" si="44"/>
        <v>0.74833333333333329</v>
      </c>
      <c r="K225" s="266">
        <f t="shared" si="45"/>
        <v>4.49</v>
      </c>
      <c r="L225" s="252"/>
      <c r="M225" s="252"/>
      <c r="N225" s="252"/>
    </row>
    <row r="226" spans="1:14" ht="15.6" x14ac:dyDescent="0.6">
      <c r="A226" s="252"/>
      <c r="B226" s="260" t="s">
        <v>26</v>
      </c>
      <c r="C226" s="259"/>
      <c r="D226" s="259"/>
      <c r="E226" s="259"/>
      <c r="F226" s="263">
        <f>F$35</f>
        <v>15</v>
      </c>
      <c r="G226" s="264" t="s">
        <v>60</v>
      </c>
      <c r="H226" s="259"/>
      <c r="I226" s="265">
        <f>CEILING(D225*F226,10)</f>
        <v>3370</v>
      </c>
      <c r="J226" s="179">
        <f t="shared" si="44"/>
        <v>0.56166666666666665</v>
      </c>
      <c r="K226" s="266">
        <f t="shared" si="45"/>
        <v>3.37</v>
      </c>
      <c r="L226" s="252"/>
      <c r="M226" s="252"/>
      <c r="N226" s="252"/>
    </row>
    <row r="227" spans="1:14" ht="15.6" x14ac:dyDescent="0.6">
      <c r="A227" s="252"/>
      <c r="B227" s="260" t="s">
        <v>27</v>
      </c>
      <c r="C227" s="259"/>
      <c r="D227" s="261">
        <f>D202+D203+D210+D211+D216</f>
        <v>5074</v>
      </c>
      <c r="E227" s="268" t="s">
        <v>57</v>
      </c>
      <c r="F227" s="263">
        <f>F$36</f>
        <v>2</v>
      </c>
      <c r="G227" s="264" t="s">
        <v>61</v>
      </c>
      <c r="H227" s="259"/>
      <c r="I227" s="265">
        <f>CEILING(D227*F227,10)</f>
        <v>10150</v>
      </c>
      <c r="J227" s="179">
        <f t="shared" si="44"/>
        <v>1.6916666666666667</v>
      </c>
      <c r="K227" s="266">
        <f t="shared" si="45"/>
        <v>10.15</v>
      </c>
      <c r="L227" s="252"/>
      <c r="M227" s="252"/>
      <c r="N227" s="252"/>
    </row>
    <row r="228" spans="1:14" ht="15.6" x14ac:dyDescent="0.6">
      <c r="A228" s="252"/>
      <c r="B228" s="275" t="s">
        <v>41</v>
      </c>
      <c r="C228" s="257"/>
      <c r="D228" s="257"/>
      <c r="E228" s="280"/>
      <c r="F228" s="257"/>
      <c r="G228" s="257"/>
      <c r="H228" s="257"/>
      <c r="I228" s="276">
        <f>SUM(I221:I227)</f>
        <v>138770</v>
      </c>
      <c r="J228" s="277">
        <f>SUM(J221:J227)</f>
        <v>23.128333333333334</v>
      </c>
      <c r="K228" s="278">
        <f>SUM(K221:K227)</f>
        <v>138.76999999999998</v>
      </c>
      <c r="L228" s="252"/>
      <c r="M228" s="252"/>
      <c r="N228" s="252"/>
    </row>
    <row r="229" spans="1:14" ht="15.6" x14ac:dyDescent="0.6">
      <c r="A229" s="252"/>
      <c r="B229" s="281" t="s">
        <v>62</v>
      </c>
      <c r="C229" s="257"/>
      <c r="D229" s="257"/>
      <c r="E229" s="280"/>
      <c r="F229" s="257"/>
      <c r="G229" s="257"/>
      <c r="H229" s="257"/>
      <c r="I229" s="276">
        <f>I218-I228</f>
        <v>473050</v>
      </c>
      <c r="J229" s="277">
        <f>J218-J228</f>
        <v>78.841666666666669</v>
      </c>
      <c r="K229" s="278">
        <f>K218-K228</f>
        <v>473.05000000000007</v>
      </c>
      <c r="L229" s="252"/>
      <c r="M229" s="252"/>
      <c r="N229" s="252"/>
    </row>
    <row r="230" spans="1:14" ht="15.6" x14ac:dyDescent="0.6">
      <c r="A230" s="252"/>
      <c r="B230" s="282"/>
      <c r="C230" s="255"/>
      <c r="D230" s="255"/>
      <c r="E230" s="255"/>
      <c r="F230" s="255"/>
      <c r="G230" s="255"/>
      <c r="H230" s="255"/>
      <c r="I230" s="255"/>
      <c r="J230" s="255"/>
      <c r="K230" s="255"/>
      <c r="L230" s="252"/>
      <c r="M230" s="252"/>
      <c r="N230" s="252"/>
    </row>
    <row r="231" spans="1:14" ht="18.3" x14ac:dyDescent="0.7">
      <c r="A231" s="252"/>
      <c r="B231" s="253" t="s">
        <v>259</v>
      </c>
      <c r="C231" s="252"/>
      <c r="D231" s="252"/>
      <c r="E231" s="252"/>
      <c r="F231" s="252"/>
      <c r="G231" s="252"/>
      <c r="H231" s="252"/>
      <c r="I231" s="252"/>
      <c r="J231" s="252"/>
      <c r="K231" s="252"/>
      <c r="L231" s="252"/>
      <c r="M231" s="252"/>
      <c r="N231" s="252"/>
    </row>
    <row r="232" spans="1:14" ht="17.7" x14ac:dyDescent="0.6">
      <c r="A232" s="252"/>
      <c r="B232" s="256"/>
      <c r="C232" s="257"/>
      <c r="D232" s="257"/>
      <c r="E232" s="257"/>
      <c r="F232" s="257"/>
      <c r="G232" s="257"/>
      <c r="H232" s="257"/>
      <c r="I232" s="258" t="s">
        <v>46</v>
      </c>
      <c r="J232" s="258" t="s">
        <v>78</v>
      </c>
      <c r="K232" s="258" t="s">
        <v>87</v>
      </c>
      <c r="L232" s="252"/>
      <c r="M232" s="252"/>
      <c r="N232" s="252"/>
    </row>
    <row r="233" spans="1:14" ht="15.6" x14ac:dyDescent="0.6">
      <c r="A233" s="252"/>
      <c r="B233" s="66" t="s">
        <v>18</v>
      </c>
      <c r="C233" s="259"/>
      <c r="D233" s="259"/>
      <c r="E233" s="259"/>
      <c r="F233" s="259"/>
      <c r="G233" s="259"/>
      <c r="H233" s="259"/>
      <c r="I233" s="198" t="s">
        <v>48</v>
      </c>
      <c r="J233" s="198" t="s">
        <v>49</v>
      </c>
      <c r="K233" s="198" t="s">
        <v>50</v>
      </c>
      <c r="L233" s="252"/>
      <c r="M233" s="252"/>
      <c r="N233" s="252"/>
    </row>
    <row r="234" spans="1:14" ht="15.6" x14ac:dyDescent="0.6">
      <c r="A234" s="252"/>
      <c r="B234" s="260" t="s">
        <v>4</v>
      </c>
      <c r="C234" s="259"/>
      <c r="D234" s="261">
        <f>$D$11</f>
        <v>6000</v>
      </c>
      <c r="E234" s="288" t="s">
        <v>212</v>
      </c>
      <c r="F234" s="325">
        <f>K48</f>
        <v>6.36</v>
      </c>
      <c r="G234" s="263">
        <f>L48</f>
        <v>9</v>
      </c>
      <c r="H234" s="264" t="s">
        <v>47</v>
      </c>
      <c r="I234" s="265">
        <f>CEILING(D234*F234*G234,10)</f>
        <v>343440</v>
      </c>
      <c r="J234" s="179">
        <f>I234/$D$5</f>
        <v>57.24</v>
      </c>
      <c r="K234" s="266">
        <f>I234/$D$4</f>
        <v>343.44</v>
      </c>
      <c r="L234" s="252"/>
      <c r="M234" s="252"/>
      <c r="N234" s="252"/>
    </row>
    <row r="235" spans="1:14" ht="15.6" x14ac:dyDescent="0.6">
      <c r="A235" s="252"/>
      <c r="B235" s="260"/>
      <c r="C235" s="259"/>
      <c r="D235" s="261"/>
      <c r="E235" s="314" t="s">
        <v>214</v>
      </c>
      <c r="F235" s="289"/>
      <c r="G235" s="263"/>
      <c r="H235" s="264"/>
      <c r="I235" s="265"/>
      <c r="J235" s="179"/>
      <c r="K235" s="266"/>
      <c r="L235" s="252"/>
      <c r="M235" s="252"/>
      <c r="N235" s="252"/>
    </row>
    <row r="236" spans="1:14" ht="15.6" x14ac:dyDescent="0.6">
      <c r="A236" s="252"/>
      <c r="B236" s="260" t="s">
        <v>22</v>
      </c>
      <c r="C236" s="259"/>
      <c r="D236" s="261"/>
      <c r="E236" s="327" t="s">
        <v>225</v>
      </c>
      <c r="F236" s="259"/>
      <c r="G236" s="259"/>
      <c r="H236" s="259"/>
      <c r="I236" s="265"/>
      <c r="J236" s="265"/>
      <c r="K236" s="265"/>
      <c r="L236" s="252"/>
      <c r="M236" s="252"/>
      <c r="N236" s="252"/>
    </row>
    <row r="237" spans="1:14" ht="15.6" x14ac:dyDescent="0.6">
      <c r="A237" s="252"/>
      <c r="B237" s="66"/>
      <c r="C237" s="267" t="s">
        <v>19</v>
      </c>
      <c r="D237" s="261">
        <f>D$17+D$11*'Step 3'!F144</f>
        <v>900</v>
      </c>
      <c r="E237" s="328">
        <f>-(D$17-D237)/D$17</f>
        <v>0</v>
      </c>
      <c r="F237" s="346">
        <f>G48</f>
        <v>40</v>
      </c>
      <c r="G237" s="259" t="s">
        <v>55</v>
      </c>
      <c r="H237" s="252"/>
      <c r="I237" s="265">
        <f>CEILING(D237*F237,10)</f>
        <v>36000</v>
      </c>
      <c r="J237" s="179">
        <f t="shared" ref="J237:J238" si="46">I237/$D$5</f>
        <v>6</v>
      </c>
      <c r="K237" s="266">
        <f t="shared" ref="K237:K238" si="47">I237/$D$4</f>
        <v>36</v>
      </c>
      <c r="L237" s="252"/>
      <c r="M237" s="252"/>
      <c r="N237" s="252"/>
    </row>
    <row r="238" spans="1:14" ht="15.6" x14ac:dyDescent="0.6">
      <c r="A238" s="252"/>
      <c r="B238" s="66"/>
      <c r="C238" s="267" t="s">
        <v>215</v>
      </c>
      <c r="D238" s="261">
        <f>D$18+D$12*'Step 3'!F144</f>
        <v>375</v>
      </c>
      <c r="E238" s="328">
        <f>-(D$18-D238)/D$18</f>
        <v>0</v>
      </c>
      <c r="F238" s="346">
        <f>H48</f>
        <v>40</v>
      </c>
      <c r="G238" s="259" t="s">
        <v>55</v>
      </c>
      <c r="H238" s="252"/>
      <c r="I238" s="265">
        <f>CEILING(D238*F238,10)</f>
        <v>15000</v>
      </c>
      <c r="J238" s="179">
        <f t="shared" si="46"/>
        <v>2.5</v>
      </c>
      <c r="K238" s="266">
        <f t="shared" si="47"/>
        <v>15</v>
      </c>
      <c r="L238" s="252"/>
      <c r="M238" s="252"/>
      <c r="N238" s="252"/>
    </row>
    <row r="239" spans="1:14" ht="15.6" x14ac:dyDescent="0.6">
      <c r="A239" s="252"/>
      <c r="B239" s="66"/>
      <c r="C239" s="267" t="s">
        <v>20</v>
      </c>
      <c r="D239" s="261"/>
      <c r="E239" s="326"/>
      <c r="F239" s="326"/>
      <c r="G239" s="326"/>
      <c r="H239" s="326"/>
      <c r="I239" s="127"/>
      <c r="J239" s="127"/>
      <c r="K239" s="127"/>
      <c r="L239" s="252"/>
      <c r="M239" s="252"/>
      <c r="N239" s="252"/>
    </row>
    <row r="240" spans="1:14" ht="15.6" x14ac:dyDescent="0.6">
      <c r="A240" s="252"/>
      <c r="B240" s="66"/>
      <c r="C240" s="273" t="s">
        <v>216</v>
      </c>
      <c r="D240" s="261">
        <f>D$59*D48</f>
        <v>5400</v>
      </c>
      <c r="E240" s="326"/>
      <c r="F240" s="269"/>
      <c r="G240" s="259"/>
      <c r="H240" s="252"/>
      <c r="I240" s="265"/>
      <c r="J240" s="179"/>
      <c r="K240" s="266"/>
      <c r="L240" s="252"/>
      <c r="M240" s="252"/>
      <c r="N240" s="252"/>
    </row>
    <row r="241" spans="1:14" ht="15.6" x14ac:dyDescent="0.6">
      <c r="A241" s="252"/>
      <c r="B241" s="66"/>
      <c r="C241" s="273" t="s">
        <v>98</v>
      </c>
      <c r="D241" s="261">
        <f>-D$11*E48</f>
        <v>-300</v>
      </c>
      <c r="E241" s="326"/>
      <c r="F241" s="269"/>
      <c r="G241" s="259"/>
      <c r="H241" s="252"/>
      <c r="I241" s="265"/>
      <c r="J241" s="179"/>
      <c r="K241" s="266"/>
      <c r="L241" s="252"/>
      <c r="M241" s="252"/>
      <c r="N241" s="252"/>
    </row>
    <row r="242" spans="1:14" ht="15.6" x14ac:dyDescent="0.6">
      <c r="A242" s="252"/>
      <c r="B242" s="66"/>
      <c r="C242" s="273" t="s">
        <v>222</v>
      </c>
      <c r="D242" s="261">
        <f>-D237</f>
        <v>-900</v>
      </c>
      <c r="E242" s="326"/>
      <c r="F242" s="269"/>
      <c r="G242" s="259"/>
      <c r="H242" s="252"/>
      <c r="I242" s="265"/>
      <c r="J242" s="179"/>
      <c r="K242" s="266"/>
      <c r="L242" s="252"/>
      <c r="M242" s="252"/>
      <c r="N242" s="252"/>
    </row>
    <row r="243" spans="1:14" ht="15.6" x14ac:dyDescent="0.6">
      <c r="A243" s="252"/>
      <c r="B243" s="66"/>
      <c r="C243" s="273" t="s">
        <v>210</v>
      </c>
      <c r="D243" s="261">
        <f>-D$12*F48</f>
        <v>-50</v>
      </c>
      <c r="E243" s="326"/>
      <c r="F243" s="269"/>
      <c r="G243" s="259"/>
      <c r="H243" s="252"/>
      <c r="I243" s="265"/>
      <c r="J243" s="179"/>
      <c r="K243" s="266"/>
      <c r="L243" s="252"/>
      <c r="M243" s="252"/>
      <c r="N243" s="252"/>
    </row>
    <row r="244" spans="1:14" ht="15.6" x14ac:dyDescent="0.6">
      <c r="A244" s="252"/>
      <c r="B244" s="66"/>
      <c r="C244" s="273" t="s">
        <v>217</v>
      </c>
      <c r="D244" s="285">
        <f>-D238</f>
        <v>-375</v>
      </c>
      <c r="E244" s="326"/>
      <c r="F244" s="269"/>
      <c r="G244" s="259"/>
      <c r="H244" s="252"/>
      <c r="I244" s="265"/>
      <c r="J244" s="179"/>
      <c r="K244" s="266"/>
      <c r="L244" s="252"/>
      <c r="M244" s="252"/>
      <c r="N244" s="252"/>
    </row>
    <row r="245" spans="1:14" ht="15.6" x14ac:dyDescent="0.6">
      <c r="A245" s="252"/>
      <c r="B245" s="66"/>
      <c r="C245" s="267"/>
      <c r="D245" s="261">
        <f>SUM(D240:D244)</f>
        <v>3775</v>
      </c>
      <c r="E245" s="329">
        <f>-(D$19-D245)/D$19</f>
        <v>0</v>
      </c>
      <c r="F245" s="263">
        <f>I48</f>
        <v>60</v>
      </c>
      <c r="G245" s="259" t="s">
        <v>55</v>
      </c>
      <c r="H245" s="252"/>
      <c r="I245" s="265">
        <f>D245*F245</f>
        <v>226500</v>
      </c>
      <c r="J245" s="179">
        <f>I245/$D$5</f>
        <v>37.75</v>
      </c>
      <c r="K245" s="266">
        <f>I245/$D$4</f>
        <v>226.5</v>
      </c>
      <c r="L245" s="252"/>
      <c r="M245" s="252"/>
      <c r="N245" s="252"/>
    </row>
    <row r="246" spans="1:14" ht="15.6" x14ac:dyDescent="0.6">
      <c r="A246" s="252"/>
      <c r="B246" s="66"/>
      <c r="C246" s="267" t="s">
        <v>21</v>
      </c>
      <c r="D246" s="261">
        <f>D$25</f>
        <v>12</v>
      </c>
      <c r="E246" s="268" t="s">
        <v>57</v>
      </c>
      <c r="F246" s="263">
        <f>J48</f>
        <v>40</v>
      </c>
      <c r="G246" s="259" t="s">
        <v>55</v>
      </c>
      <c r="H246" s="252"/>
      <c r="I246" s="270">
        <f>CEILING(D246*F246,10)</f>
        <v>480</v>
      </c>
      <c r="J246" s="271">
        <f t="shared" ref="J246" si="48">I246/$D$5</f>
        <v>0.08</v>
      </c>
      <c r="K246" s="272">
        <f t="shared" ref="K246:K247" si="49">I246/$D$4</f>
        <v>0.48</v>
      </c>
      <c r="L246" s="252"/>
      <c r="M246" s="252"/>
      <c r="N246" s="252"/>
    </row>
    <row r="247" spans="1:14" ht="15.6" x14ac:dyDescent="0.6">
      <c r="A247" s="252"/>
      <c r="B247" s="66"/>
      <c r="C247" s="267"/>
      <c r="D247" s="267"/>
      <c r="E247" s="268"/>
      <c r="F247" s="268"/>
      <c r="G247" s="259"/>
      <c r="H247" s="259"/>
      <c r="I247" s="265">
        <f>SUM(I237:I246)</f>
        <v>277980</v>
      </c>
      <c r="J247" s="179">
        <f>I247/$D$5</f>
        <v>46.33</v>
      </c>
      <c r="K247" s="266">
        <f t="shared" si="49"/>
        <v>277.98</v>
      </c>
      <c r="L247" s="252"/>
      <c r="M247" s="252"/>
      <c r="N247" s="252"/>
    </row>
    <row r="248" spans="1:14" ht="15.6" x14ac:dyDescent="0.6">
      <c r="A248" s="252"/>
      <c r="B248" s="260" t="s">
        <v>28</v>
      </c>
      <c r="C248" s="273"/>
      <c r="D248" s="273"/>
      <c r="E248" s="268"/>
      <c r="F248" s="268"/>
      <c r="G248" s="259"/>
      <c r="H248" s="259"/>
      <c r="I248" s="265"/>
      <c r="J248" s="265"/>
      <c r="K248" s="265"/>
      <c r="L248" s="252"/>
      <c r="M248" s="252"/>
      <c r="N248" s="252"/>
    </row>
    <row r="249" spans="1:14" ht="15.6" x14ac:dyDescent="0.6">
      <c r="A249" s="252"/>
      <c r="B249" s="274"/>
      <c r="C249" s="267" t="s">
        <v>1</v>
      </c>
      <c r="D249" s="261" t="s">
        <v>99</v>
      </c>
      <c r="E249" s="268"/>
      <c r="F249" s="268"/>
      <c r="G249" s="259"/>
      <c r="H249" s="259"/>
      <c r="I249" s="266">
        <v>0</v>
      </c>
      <c r="J249" s="179">
        <f t="shared" ref="J249:J252" si="50">I249/$D$5</f>
        <v>0</v>
      </c>
      <c r="K249" s="266">
        <f t="shared" ref="K249:K252" si="51">I249/$D$4</f>
        <v>0</v>
      </c>
      <c r="L249" s="252"/>
      <c r="M249" s="252"/>
      <c r="N249" s="252"/>
    </row>
    <row r="250" spans="1:14" ht="15.6" x14ac:dyDescent="0.6">
      <c r="A250" s="252"/>
      <c r="B250" s="274"/>
      <c r="C250" s="267" t="s">
        <v>133</v>
      </c>
      <c r="D250" s="261" t="s">
        <v>134</v>
      </c>
      <c r="E250" s="268"/>
      <c r="F250" s="268"/>
      <c r="G250" s="259"/>
      <c r="H250" s="259"/>
      <c r="I250" s="266">
        <v>0</v>
      </c>
      <c r="J250" s="179">
        <f t="shared" si="50"/>
        <v>0</v>
      </c>
      <c r="K250" s="266">
        <f t="shared" si="51"/>
        <v>0</v>
      </c>
      <c r="L250" s="252"/>
      <c r="M250" s="252"/>
      <c r="N250" s="252"/>
    </row>
    <row r="251" spans="1:14" ht="15.6" x14ac:dyDescent="0.6">
      <c r="A251" s="252"/>
      <c r="B251" s="274"/>
      <c r="C251" s="267" t="s">
        <v>2</v>
      </c>
      <c r="D251" s="261">
        <f>D$25</f>
        <v>12</v>
      </c>
      <c r="E251" s="268" t="s">
        <v>57</v>
      </c>
      <c r="F251" s="269">
        <f>F$25</f>
        <v>800</v>
      </c>
      <c r="G251" s="259" t="s">
        <v>58</v>
      </c>
      <c r="H251" s="259"/>
      <c r="I251" s="272">
        <f>CEILING(-D251*F251,10)</f>
        <v>-9600</v>
      </c>
      <c r="J251" s="271">
        <f t="shared" si="50"/>
        <v>-1.6</v>
      </c>
      <c r="K251" s="272">
        <f t="shared" si="51"/>
        <v>-9.6</v>
      </c>
      <c r="L251" s="252"/>
      <c r="M251" s="252"/>
      <c r="N251" s="252"/>
    </row>
    <row r="252" spans="1:14" ht="15.6" x14ac:dyDescent="0.6">
      <c r="A252" s="252"/>
      <c r="B252" s="66"/>
      <c r="C252" s="273"/>
      <c r="D252" s="273"/>
      <c r="E252" s="273"/>
      <c r="F252" s="273"/>
      <c r="G252" s="273"/>
      <c r="H252" s="273"/>
      <c r="I252" s="266">
        <f>SUM(I249:I251)</f>
        <v>-9600</v>
      </c>
      <c r="J252" s="179">
        <f t="shared" si="50"/>
        <v>-1.6</v>
      </c>
      <c r="K252" s="266">
        <f t="shared" si="51"/>
        <v>-9.6</v>
      </c>
      <c r="L252" s="252"/>
      <c r="M252" s="252"/>
      <c r="N252" s="252"/>
    </row>
    <row r="253" spans="1:14" ht="15.6" x14ac:dyDescent="0.6">
      <c r="A253" s="252"/>
      <c r="B253" s="275" t="s">
        <v>0</v>
      </c>
      <c r="C253" s="257"/>
      <c r="D253" s="257"/>
      <c r="E253" s="257"/>
      <c r="F253" s="257"/>
      <c r="G253" s="257"/>
      <c r="H253" s="257"/>
      <c r="I253" s="276">
        <f>I234+I247+I252</f>
        <v>611820</v>
      </c>
      <c r="J253" s="277">
        <f>J234+J247+J252</f>
        <v>101.97</v>
      </c>
      <c r="K253" s="278">
        <f>K234+K247+K252</f>
        <v>611.82000000000005</v>
      </c>
      <c r="L253" s="252"/>
      <c r="M253" s="252"/>
      <c r="N253" s="252"/>
    </row>
    <row r="254" spans="1:14" ht="15.6" x14ac:dyDescent="0.6">
      <c r="A254" s="252"/>
      <c r="B254" s="66" t="s">
        <v>23</v>
      </c>
      <c r="C254" s="259"/>
      <c r="D254" s="259"/>
      <c r="E254" s="259"/>
      <c r="F254" s="259"/>
      <c r="G254" s="259"/>
      <c r="H254" s="259"/>
      <c r="I254" s="198" t="s">
        <v>48</v>
      </c>
      <c r="J254" s="198" t="s">
        <v>49</v>
      </c>
      <c r="K254" s="198" t="s">
        <v>50</v>
      </c>
      <c r="L254" s="252"/>
      <c r="M254" s="252"/>
      <c r="N254" s="252"/>
    </row>
    <row r="255" spans="1:14" ht="15.6" x14ac:dyDescent="0.6">
      <c r="A255" s="252"/>
      <c r="B255" s="260" t="s">
        <v>3</v>
      </c>
      <c r="C255" s="259"/>
      <c r="D255" s="259"/>
      <c r="E255" s="259"/>
      <c r="F255" s="259"/>
      <c r="G255" s="259"/>
      <c r="L255" s="252"/>
      <c r="M255" s="252"/>
      <c r="N255" s="252"/>
    </row>
    <row r="256" spans="1:14" ht="15.6" x14ac:dyDescent="0.6">
      <c r="A256" s="252"/>
      <c r="B256" s="260"/>
      <c r="C256" s="259" t="s">
        <v>224</v>
      </c>
      <c r="D256" s="261">
        <f>D$15</f>
        <v>10185</v>
      </c>
      <c r="E256" s="262" t="s">
        <v>57</v>
      </c>
      <c r="F256" s="263">
        <f>F$30</f>
        <v>3.5</v>
      </c>
      <c r="G256" s="264" t="s">
        <v>204</v>
      </c>
      <c r="H256" s="259"/>
      <c r="I256" s="265">
        <f>CEILING(D256*F256,10)</f>
        <v>35650</v>
      </c>
      <c r="J256" s="179">
        <f>I256/$D$5</f>
        <v>5.9416666666666664</v>
      </c>
      <c r="K256" s="266">
        <f>I256/$D$4</f>
        <v>35.65</v>
      </c>
      <c r="L256" s="252"/>
      <c r="M256" s="252"/>
      <c r="N256" s="252"/>
    </row>
    <row r="257" spans="1:14" ht="15.6" x14ac:dyDescent="0.6">
      <c r="A257" s="252"/>
      <c r="B257" s="260"/>
      <c r="C257" s="259" t="s">
        <v>135</v>
      </c>
      <c r="D257" s="261">
        <f>D240</f>
        <v>5400</v>
      </c>
      <c r="E257" s="262" t="s">
        <v>57</v>
      </c>
      <c r="F257" s="263">
        <f>F$31</f>
        <v>3.5</v>
      </c>
      <c r="G257" s="264" t="s">
        <v>204</v>
      </c>
      <c r="H257" s="259"/>
      <c r="I257" s="265">
        <f>CEILING(D257*F257,10)</f>
        <v>18900</v>
      </c>
      <c r="J257" s="179">
        <f>I257/$D$5</f>
        <v>3.15</v>
      </c>
      <c r="K257" s="266">
        <f>I257/$D$4</f>
        <v>18.899999999999999</v>
      </c>
      <c r="L257" s="252"/>
      <c r="M257" s="252"/>
      <c r="N257" s="252"/>
    </row>
    <row r="258" spans="1:14" ht="15.6" x14ac:dyDescent="0.6">
      <c r="A258" s="252"/>
      <c r="B258" s="260" t="s">
        <v>97</v>
      </c>
      <c r="C258" s="259"/>
      <c r="D258" s="261">
        <f>D256</f>
        <v>10185</v>
      </c>
      <c r="E258" s="262" t="s">
        <v>57</v>
      </c>
      <c r="F258" s="263">
        <f>I258/D258</f>
        <v>0</v>
      </c>
      <c r="G258" s="264" t="s">
        <v>204</v>
      </c>
      <c r="H258" s="259"/>
      <c r="I258" s="265">
        <f>'Step 3'!F91</f>
        <v>0</v>
      </c>
      <c r="J258" s="179">
        <f t="shared" ref="J258:J262" si="52">I258/$D$5</f>
        <v>0</v>
      </c>
      <c r="K258" s="266">
        <f t="shared" ref="K258:K262" si="53">I258/$D$4</f>
        <v>0</v>
      </c>
      <c r="L258" s="252"/>
      <c r="M258" s="252"/>
      <c r="N258" s="252"/>
    </row>
    <row r="259" spans="1:14" ht="15.6" x14ac:dyDescent="0.6">
      <c r="A259" s="252"/>
      <c r="B259" s="260" t="s">
        <v>24</v>
      </c>
      <c r="C259" s="259"/>
      <c r="D259" s="261">
        <f>D256</f>
        <v>10185</v>
      </c>
      <c r="E259" s="262" t="str">
        <f>E256</f>
        <v>hd @</v>
      </c>
      <c r="F259" s="263">
        <f>F$33</f>
        <v>6.5</v>
      </c>
      <c r="G259" s="264" t="s">
        <v>204</v>
      </c>
      <c r="H259" s="259"/>
      <c r="I259" s="265">
        <f>CEILING(D259*F259,10)</f>
        <v>66210</v>
      </c>
      <c r="J259" s="179">
        <f t="shared" si="52"/>
        <v>11.035</v>
      </c>
      <c r="K259" s="266">
        <f t="shared" si="53"/>
        <v>66.209999999999994</v>
      </c>
      <c r="L259" s="252"/>
      <c r="M259" s="252"/>
      <c r="N259" s="252"/>
    </row>
    <row r="260" spans="1:14" ht="15.6" x14ac:dyDescent="0.6">
      <c r="A260" s="252"/>
      <c r="B260" s="260" t="s">
        <v>25</v>
      </c>
      <c r="C260" s="259"/>
      <c r="D260" s="279">
        <f>D234*F234/170</f>
        <v>224.47058823529412</v>
      </c>
      <c r="E260" s="262" t="s">
        <v>59</v>
      </c>
      <c r="F260" s="263">
        <f>F$34</f>
        <v>20</v>
      </c>
      <c r="G260" s="264" t="s">
        <v>60</v>
      </c>
      <c r="H260" s="259"/>
      <c r="I260" s="265">
        <f>CEILING(D260*F260,10)</f>
        <v>4490</v>
      </c>
      <c r="J260" s="179">
        <f t="shared" si="52"/>
        <v>0.74833333333333329</v>
      </c>
      <c r="K260" s="266">
        <f t="shared" si="53"/>
        <v>4.49</v>
      </c>
      <c r="L260" s="252"/>
      <c r="M260" s="252"/>
      <c r="N260" s="252"/>
    </row>
    <row r="261" spans="1:14" ht="15.6" x14ac:dyDescent="0.6">
      <c r="A261" s="252"/>
      <c r="B261" s="260" t="s">
        <v>26</v>
      </c>
      <c r="C261" s="259"/>
      <c r="D261" s="259"/>
      <c r="E261" s="259"/>
      <c r="F261" s="263">
        <f>F$35</f>
        <v>15</v>
      </c>
      <c r="G261" s="264" t="s">
        <v>60</v>
      </c>
      <c r="H261" s="259"/>
      <c r="I261" s="265">
        <f>CEILING(D260*F261,10)</f>
        <v>3370</v>
      </c>
      <c r="J261" s="179">
        <f t="shared" si="52"/>
        <v>0.56166666666666665</v>
      </c>
      <c r="K261" s="266">
        <f t="shared" si="53"/>
        <v>3.37</v>
      </c>
      <c r="L261" s="252"/>
      <c r="M261" s="252"/>
      <c r="N261" s="252"/>
    </row>
    <row r="262" spans="1:14" ht="15.6" x14ac:dyDescent="0.6">
      <c r="A262" s="252"/>
      <c r="B262" s="260" t="s">
        <v>27</v>
      </c>
      <c r="C262" s="259"/>
      <c r="D262" s="261">
        <f>D237+D238+D245+D246+D251</f>
        <v>5074</v>
      </c>
      <c r="E262" s="268" t="s">
        <v>57</v>
      </c>
      <c r="F262" s="263">
        <f>F$36</f>
        <v>2</v>
      </c>
      <c r="G262" s="264" t="s">
        <v>61</v>
      </c>
      <c r="H262" s="259"/>
      <c r="I262" s="265">
        <f>CEILING(D262*F262,10)</f>
        <v>10150</v>
      </c>
      <c r="J262" s="179">
        <f t="shared" si="52"/>
        <v>1.6916666666666667</v>
      </c>
      <c r="K262" s="266">
        <f t="shared" si="53"/>
        <v>10.15</v>
      </c>
      <c r="L262" s="252"/>
      <c r="M262" s="252"/>
      <c r="N262" s="252"/>
    </row>
    <row r="263" spans="1:14" ht="15.6" x14ac:dyDescent="0.6">
      <c r="A263" s="252"/>
      <c r="B263" s="275" t="s">
        <v>41</v>
      </c>
      <c r="C263" s="257"/>
      <c r="D263" s="257"/>
      <c r="E263" s="280"/>
      <c r="F263" s="257"/>
      <c r="G263" s="257"/>
      <c r="H263" s="257"/>
      <c r="I263" s="276">
        <f>SUM(I256:I262)</f>
        <v>138770</v>
      </c>
      <c r="J263" s="277">
        <f>SUM(J256:J262)</f>
        <v>23.128333333333334</v>
      </c>
      <c r="K263" s="278">
        <f>SUM(K256:K262)</f>
        <v>138.76999999999998</v>
      </c>
      <c r="L263" s="252"/>
      <c r="M263" s="252"/>
      <c r="N263" s="252"/>
    </row>
    <row r="264" spans="1:14" ht="15.6" x14ac:dyDescent="0.6">
      <c r="A264" s="252"/>
      <c r="B264" s="281" t="s">
        <v>62</v>
      </c>
      <c r="C264" s="257"/>
      <c r="D264" s="257"/>
      <c r="E264" s="280"/>
      <c r="F264" s="257"/>
      <c r="G264" s="257"/>
      <c r="H264" s="257"/>
      <c r="I264" s="276">
        <f>I253-I263</f>
        <v>473050</v>
      </c>
      <c r="J264" s="277">
        <f>J253-J263</f>
        <v>78.841666666666669</v>
      </c>
      <c r="K264" s="278">
        <f>K253-K263</f>
        <v>473.05000000000007</v>
      </c>
      <c r="L264" s="252"/>
      <c r="M264" s="252"/>
      <c r="N264" s="252"/>
    </row>
    <row r="265" spans="1:14" ht="15.6" x14ac:dyDescent="0.6">
      <c r="A265" s="252"/>
      <c r="B265" s="282"/>
      <c r="C265" s="255"/>
      <c r="D265" s="255"/>
      <c r="E265" s="255"/>
      <c r="F265" s="255"/>
      <c r="G265" s="255"/>
      <c r="H265" s="255"/>
      <c r="I265" s="255"/>
      <c r="J265" s="255"/>
      <c r="K265" s="255"/>
      <c r="L265" s="252"/>
      <c r="M265" s="252"/>
      <c r="N265" s="252"/>
    </row>
    <row r="266" spans="1:14" ht="18.3" x14ac:dyDescent="0.7">
      <c r="A266" s="252"/>
      <c r="B266" s="253" t="s">
        <v>260</v>
      </c>
      <c r="C266" s="252"/>
      <c r="D266" s="252"/>
      <c r="E266" s="252"/>
      <c r="F266" s="252"/>
      <c r="G266" s="252"/>
      <c r="H266" s="252"/>
      <c r="I266" s="252"/>
      <c r="J266" s="252"/>
      <c r="K266" s="252"/>
      <c r="L266" s="252"/>
      <c r="M266" s="252"/>
      <c r="N266" s="252"/>
    </row>
    <row r="267" spans="1:14" ht="17.7" x14ac:dyDescent="0.6">
      <c r="A267" s="252"/>
      <c r="B267" s="256"/>
      <c r="C267" s="257"/>
      <c r="D267" s="257"/>
      <c r="E267" s="257"/>
      <c r="F267" s="257"/>
      <c r="G267" s="257"/>
      <c r="H267" s="257"/>
      <c r="I267" s="258" t="s">
        <v>46</v>
      </c>
      <c r="J267" s="258" t="s">
        <v>78</v>
      </c>
      <c r="K267" s="258" t="s">
        <v>87</v>
      </c>
      <c r="L267" s="252"/>
      <c r="M267" s="252"/>
      <c r="N267" s="252"/>
    </row>
    <row r="268" spans="1:14" ht="15.6" x14ac:dyDescent="0.6">
      <c r="A268" s="252"/>
      <c r="B268" s="66" t="s">
        <v>18</v>
      </c>
      <c r="C268" s="259"/>
      <c r="D268" s="259"/>
      <c r="E268" s="259"/>
      <c r="F268" s="259"/>
      <c r="G268" s="259"/>
      <c r="H268" s="259"/>
      <c r="I268" s="198" t="s">
        <v>48</v>
      </c>
      <c r="J268" s="198" t="s">
        <v>49</v>
      </c>
      <c r="K268" s="198" t="s">
        <v>50</v>
      </c>
      <c r="L268" s="252"/>
      <c r="M268" s="252"/>
      <c r="N268" s="252"/>
    </row>
    <row r="269" spans="1:14" ht="15.6" x14ac:dyDescent="0.6">
      <c r="A269" s="252"/>
      <c r="B269" s="260" t="s">
        <v>4</v>
      </c>
      <c r="C269" s="259"/>
      <c r="D269" s="261">
        <f>$D$11</f>
        <v>6000</v>
      </c>
      <c r="E269" s="288" t="s">
        <v>212</v>
      </c>
      <c r="F269" s="325">
        <f>K49</f>
        <v>6.36</v>
      </c>
      <c r="G269" s="263">
        <f>L49</f>
        <v>9</v>
      </c>
      <c r="H269" s="264" t="s">
        <v>47</v>
      </c>
      <c r="I269" s="265">
        <f>CEILING(D269*F269*G269,10)</f>
        <v>343440</v>
      </c>
      <c r="J269" s="179">
        <f>I269/$D$5</f>
        <v>57.24</v>
      </c>
      <c r="K269" s="266">
        <f>I269/$D$4</f>
        <v>343.44</v>
      </c>
      <c r="L269" s="252"/>
      <c r="M269" s="252"/>
      <c r="N269" s="252"/>
    </row>
    <row r="270" spans="1:14" ht="15.6" x14ac:dyDescent="0.6">
      <c r="A270" s="252"/>
      <c r="B270" s="260"/>
      <c r="C270" s="259"/>
      <c r="D270" s="261"/>
      <c r="E270" s="314" t="s">
        <v>214</v>
      </c>
      <c r="F270" s="289"/>
      <c r="G270" s="263"/>
      <c r="H270" s="264"/>
      <c r="I270" s="265"/>
      <c r="J270" s="179"/>
      <c r="K270" s="266"/>
      <c r="L270" s="252"/>
      <c r="M270" s="252"/>
      <c r="N270" s="252"/>
    </row>
    <row r="271" spans="1:14" ht="15.6" x14ac:dyDescent="0.6">
      <c r="A271" s="252"/>
      <c r="B271" s="260" t="s">
        <v>22</v>
      </c>
      <c r="C271" s="259"/>
      <c r="D271" s="261"/>
      <c r="E271" s="327" t="s">
        <v>225</v>
      </c>
      <c r="F271" s="259"/>
      <c r="G271" s="259"/>
      <c r="H271" s="259"/>
      <c r="I271" s="265"/>
      <c r="J271" s="265"/>
      <c r="K271" s="265"/>
      <c r="L271" s="252"/>
      <c r="M271" s="252"/>
      <c r="N271" s="252"/>
    </row>
    <row r="272" spans="1:14" ht="15.6" x14ac:dyDescent="0.6">
      <c r="A272" s="252"/>
      <c r="B272" s="66"/>
      <c r="C272" s="267" t="s">
        <v>19</v>
      </c>
      <c r="D272" s="261">
        <f>D$17+D$11*'Step 3'!F145</f>
        <v>900</v>
      </c>
      <c r="E272" s="328">
        <f>-(D$17-D272)/D$17</f>
        <v>0</v>
      </c>
      <c r="F272" s="346">
        <f>G49</f>
        <v>40</v>
      </c>
      <c r="G272" s="259" t="s">
        <v>55</v>
      </c>
      <c r="H272" s="252"/>
      <c r="I272" s="265">
        <f>CEILING(D272*F272,10)</f>
        <v>36000</v>
      </c>
      <c r="J272" s="179">
        <f t="shared" ref="J272:J273" si="54">I272/$D$5</f>
        <v>6</v>
      </c>
      <c r="K272" s="266">
        <f t="shared" ref="K272:K273" si="55">I272/$D$4</f>
        <v>36</v>
      </c>
      <c r="L272" s="252"/>
      <c r="M272" s="252"/>
      <c r="N272" s="252"/>
    </row>
    <row r="273" spans="1:14" ht="15.6" x14ac:dyDescent="0.6">
      <c r="A273" s="252"/>
      <c r="B273" s="66"/>
      <c r="C273" s="267" t="s">
        <v>215</v>
      </c>
      <c r="D273" s="261">
        <f>D$18+D$12*'Step 3'!F45</f>
        <v>375</v>
      </c>
      <c r="E273" s="328">
        <f>-(D$18-D273)/D$18</f>
        <v>0</v>
      </c>
      <c r="F273" s="346">
        <f>H49</f>
        <v>40</v>
      </c>
      <c r="G273" s="259" t="s">
        <v>55</v>
      </c>
      <c r="H273" s="252"/>
      <c r="I273" s="265">
        <f>CEILING(D273*F273,10)</f>
        <v>15000</v>
      </c>
      <c r="J273" s="179">
        <f t="shared" si="54"/>
        <v>2.5</v>
      </c>
      <c r="K273" s="266">
        <f t="shared" si="55"/>
        <v>15</v>
      </c>
      <c r="L273" s="252"/>
      <c r="M273" s="252"/>
      <c r="N273" s="252"/>
    </row>
    <row r="274" spans="1:14" ht="15.6" x14ac:dyDescent="0.6">
      <c r="A274" s="252"/>
      <c r="B274" s="66"/>
      <c r="C274" s="267" t="s">
        <v>20</v>
      </c>
      <c r="D274" s="261"/>
      <c r="E274" s="326"/>
      <c r="F274" s="326"/>
      <c r="G274" s="326"/>
      <c r="H274" s="326"/>
      <c r="I274" s="127"/>
      <c r="J274" s="127"/>
      <c r="K274" s="127"/>
      <c r="L274" s="252"/>
      <c r="M274" s="252"/>
      <c r="N274" s="252"/>
    </row>
    <row r="275" spans="1:14" ht="15.6" x14ac:dyDescent="0.6">
      <c r="A275" s="252"/>
      <c r="B275" s="66"/>
      <c r="C275" s="273" t="s">
        <v>216</v>
      </c>
      <c r="D275" s="261">
        <f>D$59*D49</f>
        <v>5400</v>
      </c>
      <c r="E275" s="326"/>
      <c r="F275" s="269"/>
      <c r="G275" s="259"/>
      <c r="H275" s="252"/>
      <c r="I275" s="265"/>
      <c r="J275" s="179"/>
      <c r="K275" s="266"/>
      <c r="L275" s="252"/>
      <c r="M275" s="252"/>
      <c r="N275" s="252"/>
    </row>
    <row r="276" spans="1:14" ht="15.6" x14ac:dyDescent="0.6">
      <c r="A276" s="252"/>
      <c r="B276" s="66"/>
      <c r="C276" s="273" t="s">
        <v>98</v>
      </c>
      <c r="D276" s="261">
        <f>-D$11*E49</f>
        <v>-300</v>
      </c>
      <c r="E276" s="326"/>
      <c r="F276" s="269"/>
      <c r="G276" s="259"/>
      <c r="H276" s="252"/>
      <c r="I276" s="265"/>
      <c r="J276" s="179"/>
      <c r="K276" s="266"/>
      <c r="L276" s="252"/>
      <c r="M276" s="252"/>
      <c r="N276" s="252"/>
    </row>
    <row r="277" spans="1:14" ht="15.6" x14ac:dyDescent="0.6">
      <c r="A277" s="252"/>
      <c r="B277" s="66"/>
      <c r="C277" s="273" t="s">
        <v>222</v>
      </c>
      <c r="D277" s="261">
        <f>-D272</f>
        <v>-900</v>
      </c>
      <c r="E277" s="326"/>
      <c r="F277" s="269"/>
      <c r="G277" s="259"/>
      <c r="H277" s="252"/>
      <c r="I277" s="265"/>
      <c r="J277" s="179"/>
      <c r="K277" s="266"/>
      <c r="L277" s="252"/>
      <c r="M277" s="252"/>
      <c r="N277" s="252"/>
    </row>
    <row r="278" spans="1:14" ht="15.6" x14ac:dyDescent="0.6">
      <c r="A278" s="252"/>
      <c r="B278" s="66"/>
      <c r="C278" s="273" t="s">
        <v>210</v>
      </c>
      <c r="D278" s="261">
        <f>-D$12*F49</f>
        <v>-50</v>
      </c>
      <c r="E278" s="326"/>
      <c r="F278" s="269"/>
      <c r="G278" s="259"/>
      <c r="H278" s="252"/>
      <c r="I278" s="265"/>
      <c r="J278" s="179"/>
      <c r="K278" s="266"/>
      <c r="L278" s="252"/>
      <c r="M278" s="252"/>
      <c r="N278" s="252"/>
    </row>
    <row r="279" spans="1:14" ht="15.6" x14ac:dyDescent="0.6">
      <c r="A279" s="252"/>
      <c r="B279" s="66"/>
      <c r="C279" s="273" t="s">
        <v>217</v>
      </c>
      <c r="D279" s="285">
        <f>-D273</f>
        <v>-375</v>
      </c>
      <c r="E279" s="326"/>
      <c r="F279" s="269"/>
      <c r="G279" s="259"/>
      <c r="H279" s="252"/>
      <c r="I279" s="265"/>
      <c r="J279" s="179"/>
      <c r="K279" s="266"/>
      <c r="L279" s="252"/>
      <c r="M279" s="252"/>
      <c r="N279" s="252"/>
    </row>
    <row r="280" spans="1:14" ht="15.6" x14ac:dyDescent="0.6">
      <c r="A280" s="252"/>
      <c r="B280" s="66"/>
      <c r="C280" s="267"/>
      <c r="D280" s="261">
        <f>SUM(D275:D279)</f>
        <v>3775</v>
      </c>
      <c r="E280" s="329">
        <f>-(D$19-D280)/D$19</f>
        <v>0</v>
      </c>
      <c r="F280" s="263">
        <f>I49</f>
        <v>60</v>
      </c>
      <c r="G280" s="259" t="s">
        <v>55</v>
      </c>
      <c r="H280" s="252"/>
      <c r="I280" s="265">
        <f>D280*F280</f>
        <v>226500</v>
      </c>
      <c r="J280" s="179">
        <f>I280/$D$5</f>
        <v>37.75</v>
      </c>
      <c r="K280" s="266">
        <f>I280/$D$4</f>
        <v>226.5</v>
      </c>
      <c r="L280" s="252"/>
      <c r="M280" s="252"/>
      <c r="N280" s="252"/>
    </row>
    <row r="281" spans="1:14" ht="15.6" x14ac:dyDescent="0.6">
      <c r="A281" s="252"/>
      <c r="B281" s="66"/>
      <c r="C281" s="267" t="s">
        <v>21</v>
      </c>
      <c r="D281" s="261">
        <f>D$25</f>
        <v>12</v>
      </c>
      <c r="E281" s="268" t="s">
        <v>57</v>
      </c>
      <c r="F281" s="263">
        <f>J49</f>
        <v>40</v>
      </c>
      <c r="G281" s="259" t="s">
        <v>55</v>
      </c>
      <c r="H281" s="252"/>
      <c r="I281" s="270">
        <f>CEILING(D281*F281,10)</f>
        <v>480</v>
      </c>
      <c r="J281" s="271">
        <f t="shared" ref="J281" si="56">I281/$D$5</f>
        <v>0.08</v>
      </c>
      <c r="K281" s="272">
        <f t="shared" ref="K281:K282" si="57">I281/$D$4</f>
        <v>0.48</v>
      </c>
      <c r="L281" s="252"/>
      <c r="M281" s="252"/>
      <c r="N281" s="252"/>
    </row>
    <row r="282" spans="1:14" ht="15.6" x14ac:dyDescent="0.6">
      <c r="A282" s="252"/>
      <c r="B282" s="66"/>
      <c r="C282" s="267"/>
      <c r="D282" s="267"/>
      <c r="E282" s="268"/>
      <c r="F282" s="268"/>
      <c r="G282" s="259"/>
      <c r="H282" s="259"/>
      <c r="I282" s="265">
        <f>SUM(I272:I281)</f>
        <v>277980</v>
      </c>
      <c r="J282" s="179">
        <f>I282/$D$5</f>
        <v>46.33</v>
      </c>
      <c r="K282" s="266">
        <f t="shared" si="57"/>
        <v>277.98</v>
      </c>
      <c r="L282" s="252"/>
      <c r="M282" s="252"/>
      <c r="N282" s="252"/>
    </row>
    <row r="283" spans="1:14" ht="15.6" x14ac:dyDescent="0.6">
      <c r="A283" s="252"/>
      <c r="B283" s="260" t="s">
        <v>28</v>
      </c>
      <c r="C283" s="273"/>
      <c r="D283" s="273"/>
      <c r="E283" s="268"/>
      <c r="F283" s="268"/>
      <c r="G283" s="259"/>
      <c r="H283" s="259"/>
      <c r="I283" s="265"/>
      <c r="J283" s="265"/>
      <c r="K283" s="265"/>
      <c r="L283" s="252"/>
      <c r="M283" s="252"/>
      <c r="N283" s="252"/>
    </row>
    <row r="284" spans="1:14" ht="15.6" x14ac:dyDescent="0.6">
      <c r="A284" s="252"/>
      <c r="B284" s="274"/>
      <c r="C284" s="267" t="s">
        <v>1</v>
      </c>
      <c r="D284" s="261" t="s">
        <v>99</v>
      </c>
      <c r="E284" s="268"/>
      <c r="F284" s="268"/>
      <c r="G284" s="259"/>
      <c r="H284" s="259"/>
      <c r="I284" s="266">
        <v>0</v>
      </c>
      <c r="J284" s="179">
        <f t="shared" ref="J284:J287" si="58">I284/$D$5</f>
        <v>0</v>
      </c>
      <c r="K284" s="266">
        <f t="shared" ref="K284:K287" si="59">I284/$D$4</f>
        <v>0</v>
      </c>
      <c r="L284" s="252"/>
      <c r="M284" s="252"/>
      <c r="N284" s="252"/>
    </row>
    <row r="285" spans="1:14" ht="15.6" x14ac:dyDescent="0.6">
      <c r="A285" s="252"/>
      <c r="B285" s="274"/>
      <c r="C285" s="267" t="s">
        <v>133</v>
      </c>
      <c r="D285" s="261" t="s">
        <v>134</v>
      </c>
      <c r="E285" s="268"/>
      <c r="F285" s="268"/>
      <c r="G285" s="259"/>
      <c r="H285" s="259"/>
      <c r="I285" s="266">
        <v>0</v>
      </c>
      <c r="J285" s="179">
        <f t="shared" si="58"/>
        <v>0</v>
      </c>
      <c r="K285" s="266">
        <f t="shared" si="59"/>
        <v>0</v>
      </c>
      <c r="L285" s="252"/>
      <c r="M285" s="252"/>
      <c r="N285" s="252"/>
    </row>
    <row r="286" spans="1:14" ht="15.6" x14ac:dyDescent="0.6">
      <c r="A286" s="252"/>
      <c r="B286" s="274"/>
      <c r="C286" s="267" t="s">
        <v>2</v>
      </c>
      <c r="D286" s="261">
        <f>D$25</f>
        <v>12</v>
      </c>
      <c r="E286" s="268" t="s">
        <v>57</v>
      </c>
      <c r="F286" s="269">
        <f>F$25</f>
        <v>800</v>
      </c>
      <c r="G286" s="259" t="s">
        <v>58</v>
      </c>
      <c r="H286" s="259"/>
      <c r="I286" s="272">
        <f>CEILING(-D286*F286,10)</f>
        <v>-9600</v>
      </c>
      <c r="J286" s="271">
        <f t="shared" si="58"/>
        <v>-1.6</v>
      </c>
      <c r="K286" s="272">
        <f t="shared" si="59"/>
        <v>-9.6</v>
      </c>
      <c r="L286" s="252"/>
      <c r="M286" s="252"/>
      <c r="N286" s="252"/>
    </row>
    <row r="287" spans="1:14" ht="15.6" x14ac:dyDescent="0.6">
      <c r="A287" s="252"/>
      <c r="B287" s="66"/>
      <c r="C287" s="273"/>
      <c r="D287" s="273"/>
      <c r="E287" s="273"/>
      <c r="F287" s="273"/>
      <c r="G287" s="273"/>
      <c r="H287" s="273"/>
      <c r="I287" s="266">
        <f>SUM(I284:I286)</f>
        <v>-9600</v>
      </c>
      <c r="J287" s="179">
        <f t="shared" si="58"/>
        <v>-1.6</v>
      </c>
      <c r="K287" s="266">
        <f t="shared" si="59"/>
        <v>-9.6</v>
      </c>
      <c r="L287" s="252"/>
      <c r="M287" s="252"/>
      <c r="N287" s="252"/>
    </row>
    <row r="288" spans="1:14" ht="15.6" x14ac:dyDescent="0.6">
      <c r="A288" s="252"/>
      <c r="B288" s="275" t="s">
        <v>0</v>
      </c>
      <c r="C288" s="257"/>
      <c r="D288" s="257"/>
      <c r="E288" s="257"/>
      <c r="F288" s="257"/>
      <c r="G288" s="257"/>
      <c r="H288" s="257"/>
      <c r="I288" s="276">
        <f>I269+I282+I287</f>
        <v>611820</v>
      </c>
      <c r="J288" s="277">
        <f>J269+J282+J287</f>
        <v>101.97</v>
      </c>
      <c r="K288" s="278">
        <f>K269+K282+K287</f>
        <v>611.82000000000005</v>
      </c>
      <c r="L288" s="252"/>
      <c r="M288" s="252"/>
      <c r="N288" s="252"/>
    </row>
    <row r="289" spans="1:14" ht="15.6" x14ac:dyDescent="0.6">
      <c r="A289" s="252"/>
      <c r="B289" s="66" t="s">
        <v>23</v>
      </c>
      <c r="C289" s="259"/>
      <c r="D289" s="259"/>
      <c r="E289" s="259"/>
      <c r="F289" s="259"/>
      <c r="G289" s="259"/>
      <c r="H289" s="259"/>
      <c r="I289" s="198" t="s">
        <v>48</v>
      </c>
      <c r="J289" s="198" t="s">
        <v>49</v>
      </c>
      <c r="K289" s="198" t="s">
        <v>50</v>
      </c>
      <c r="L289" s="252"/>
      <c r="M289" s="252"/>
      <c r="N289" s="252"/>
    </row>
    <row r="290" spans="1:14" ht="15.6" x14ac:dyDescent="0.6">
      <c r="A290" s="252"/>
      <c r="B290" s="260" t="s">
        <v>3</v>
      </c>
      <c r="C290" s="259"/>
      <c r="D290" s="259"/>
      <c r="E290" s="259"/>
      <c r="F290" s="259"/>
      <c r="G290" s="259"/>
      <c r="L290" s="252"/>
      <c r="M290" s="252"/>
      <c r="N290" s="252"/>
    </row>
    <row r="291" spans="1:14" ht="15.6" x14ac:dyDescent="0.6">
      <c r="A291" s="252"/>
      <c r="B291" s="260"/>
      <c r="C291" s="259" t="s">
        <v>224</v>
      </c>
      <c r="D291" s="261">
        <f>D$15</f>
        <v>10185</v>
      </c>
      <c r="E291" s="262" t="s">
        <v>57</v>
      </c>
      <c r="F291" s="263">
        <f>F$30</f>
        <v>3.5</v>
      </c>
      <c r="G291" s="264" t="s">
        <v>204</v>
      </c>
      <c r="H291" s="259"/>
      <c r="I291" s="265">
        <f>CEILING(D291*F291,10)</f>
        <v>35650</v>
      </c>
      <c r="J291" s="179">
        <f>I291/$D$5</f>
        <v>5.9416666666666664</v>
      </c>
      <c r="K291" s="266">
        <f>I291/$D$4</f>
        <v>35.65</v>
      </c>
      <c r="L291" s="252"/>
      <c r="M291" s="252"/>
      <c r="N291" s="252"/>
    </row>
    <row r="292" spans="1:14" ht="15.6" x14ac:dyDescent="0.6">
      <c r="A292" s="252"/>
      <c r="B292" s="260"/>
      <c r="C292" s="259" t="s">
        <v>135</v>
      </c>
      <c r="D292" s="261">
        <f>D275</f>
        <v>5400</v>
      </c>
      <c r="E292" s="262" t="s">
        <v>57</v>
      </c>
      <c r="F292" s="263">
        <f>F$31</f>
        <v>3.5</v>
      </c>
      <c r="G292" s="264" t="s">
        <v>204</v>
      </c>
      <c r="H292" s="259"/>
      <c r="I292" s="265">
        <f>CEILING(D292*F292,10)</f>
        <v>18900</v>
      </c>
      <c r="J292" s="179">
        <f>I292/$D$5</f>
        <v>3.15</v>
      </c>
      <c r="K292" s="266">
        <f>I292/$D$4</f>
        <v>18.899999999999999</v>
      </c>
      <c r="L292" s="252"/>
      <c r="M292" s="252"/>
      <c r="N292" s="252"/>
    </row>
    <row r="293" spans="1:14" ht="15.6" x14ac:dyDescent="0.6">
      <c r="A293" s="252"/>
      <c r="B293" s="260" t="s">
        <v>97</v>
      </c>
      <c r="C293" s="259"/>
      <c r="D293" s="261">
        <f>D291</f>
        <v>10185</v>
      </c>
      <c r="E293" s="262" t="s">
        <v>57</v>
      </c>
      <c r="F293" s="263">
        <f>I293/D293</f>
        <v>0</v>
      </c>
      <c r="G293" s="264" t="s">
        <v>204</v>
      </c>
      <c r="H293" s="259"/>
      <c r="I293" s="265">
        <f>'Step 3'!F92</f>
        <v>0</v>
      </c>
      <c r="J293" s="179">
        <f t="shared" ref="J293:J297" si="60">I293/$D$5</f>
        <v>0</v>
      </c>
      <c r="K293" s="266">
        <f t="shared" ref="K293:K297" si="61">I293/$D$4</f>
        <v>0</v>
      </c>
      <c r="L293" s="252"/>
      <c r="M293" s="252"/>
      <c r="N293" s="252"/>
    </row>
    <row r="294" spans="1:14" ht="15.6" x14ac:dyDescent="0.6">
      <c r="A294" s="252"/>
      <c r="B294" s="260" t="s">
        <v>24</v>
      </c>
      <c r="C294" s="259"/>
      <c r="D294" s="261">
        <f>D291</f>
        <v>10185</v>
      </c>
      <c r="E294" s="262" t="str">
        <f>E291</f>
        <v>hd @</v>
      </c>
      <c r="F294" s="263">
        <f>F$33</f>
        <v>6.5</v>
      </c>
      <c r="G294" s="264" t="s">
        <v>204</v>
      </c>
      <c r="H294" s="259"/>
      <c r="I294" s="265">
        <f>CEILING(D294*F294,10)</f>
        <v>66210</v>
      </c>
      <c r="J294" s="179">
        <f t="shared" si="60"/>
        <v>11.035</v>
      </c>
      <c r="K294" s="266">
        <f t="shared" si="61"/>
        <v>66.209999999999994</v>
      </c>
      <c r="L294" s="252"/>
      <c r="M294" s="252"/>
      <c r="N294" s="252"/>
    </row>
    <row r="295" spans="1:14" ht="15.6" x14ac:dyDescent="0.6">
      <c r="A295" s="252"/>
      <c r="B295" s="260" t="s">
        <v>25</v>
      </c>
      <c r="C295" s="259"/>
      <c r="D295" s="279">
        <f>D269*F269/170</f>
        <v>224.47058823529412</v>
      </c>
      <c r="E295" s="262" t="s">
        <v>59</v>
      </c>
      <c r="F295" s="263">
        <f>F$34</f>
        <v>20</v>
      </c>
      <c r="G295" s="264" t="s">
        <v>60</v>
      </c>
      <c r="H295" s="259"/>
      <c r="I295" s="265">
        <f>CEILING(D295*F295,10)</f>
        <v>4490</v>
      </c>
      <c r="J295" s="179">
        <f t="shared" si="60"/>
        <v>0.74833333333333329</v>
      </c>
      <c r="K295" s="266">
        <f t="shared" si="61"/>
        <v>4.49</v>
      </c>
      <c r="L295" s="252"/>
      <c r="M295" s="252"/>
      <c r="N295" s="252"/>
    </row>
    <row r="296" spans="1:14" ht="15.6" x14ac:dyDescent="0.6">
      <c r="A296" s="252"/>
      <c r="B296" s="260" t="s">
        <v>26</v>
      </c>
      <c r="C296" s="259"/>
      <c r="D296" s="259"/>
      <c r="E296" s="259"/>
      <c r="F296" s="263">
        <f>F$35</f>
        <v>15</v>
      </c>
      <c r="G296" s="264" t="s">
        <v>60</v>
      </c>
      <c r="H296" s="259"/>
      <c r="I296" s="265">
        <f>CEILING(D295*F296,10)</f>
        <v>3370</v>
      </c>
      <c r="J296" s="179">
        <f t="shared" si="60"/>
        <v>0.56166666666666665</v>
      </c>
      <c r="K296" s="266">
        <f t="shared" si="61"/>
        <v>3.37</v>
      </c>
      <c r="L296" s="252"/>
      <c r="M296" s="252"/>
      <c r="N296" s="252"/>
    </row>
    <row r="297" spans="1:14" ht="15.6" x14ac:dyDescent="0.6">
      <c r="A297" s="252"/>
      <c r="B297" s="260" t="s">
        <v>27</v>
      </c>
      <c r="C297" s="259"/>
      <c r="D297" s="261">
        <f>D272+D273+D280+D281+D286</f>
        <v>5074</v>
      </c>
      <c r="E297" s="268" t="s">
        <v>57</v>
      </c>
      <c r="F297" s="263">
        <f>F$36</f>
        <v>2</v>
      </c>
      <c r="G297" s="264" t="s">
        <v>61</v>
      </c>
      <c r="H297" s="259"/>
      <c r="I297" s="265">
        <f>CEILING(D297*F297,10)</f>
        <v>10150</v>
      </c>
      <c r="J297" s="179">
        <f t="shared" si="60"/>
        <v>1.6916666666666667</v>
      </c>
      <c r="K297" s="266">
        <f t="shared" si="61"/>
        <v>10.15</v>
      </c>
      <c r="L297" s="252"/>
      <c r="M297" s="252"/>
      <c r="N297" s="252"/>
    </row>
    <row r="298" spans="1:14" ht="15.6" x14ac:dyDescent="0.6">
      <c r="A298" s="252"/>
      <c r="B298" s="275" t="s">
        <v>41</v>
      </c>
      <c r="C298" s="257"/>
      <c r="D298" s="257"/>
      <c r="E298" s="280"/>
      <c r="F298" s="257"/>
      <c r="G298" s="257"/>
      <c r="H298" s="257"/>
      <c r="I298" s="276">
        <f>SUM(I291:I297)</f>
        <v>138770</v>
      </c>
      <c r="J298" s="277">
        <f>SUM(J291:J297)</f>
        <v>23.128333333333334</v>
      </c>
      <c r="K298" s="278">
        <f>SUM(K291:K297)</f>
        <v>138.76999999999998</v>
      </c>
      <c r="L298" s="252"/>
      <c r="M298" s="252"/>
      <c r="N298" s="252"/>
    </row>
    <row r="299" spans="1:14" ht="15.6" x14ac:dyDescent="0.6">
      <c r="A299" s="252"/>
      <c r="B299" s="281" t="s">
        <v>62</v>
      </c>
      <c r="C299" s="257"/>
      <c r="D299" s="257"/>
      <c r="E299" s="280"/>
      <c r="F299" s="257"/>
      <c r="G299" s="257"/>
      <c r="H299" s="257"/>
      <c r="I299" s="276">
        <f>I288-I298</f>
        <v>473050</v>
      </c>
      <c r="J299" s="277">
        <f>J288-J298</f>
        <v>78.841666666666669</v>
      </c>
      <c r="K299" s="278">
        <f>K288-K298</f>
        <v>473.05000000000007</v>
      </c>
      <c r="L299" s="252"/>
      <c r="M299" s="252"/>
      <c r="N299" s="252"/>
    </row>
    <row r="300" spans="1:14" ht="15.6" x14ac:dyDescent="0.6">
      <c r="A300" s="252"/>
      <c r="B300" s="282"/>
      <c r="C300" s="255"/>
      <c r="D300" s="255"/>
      <c r="E300" s="255"/>
      <c r="F300" s="255"/>
      <c r="G300" s="255"/>
      <c r="H300" s="255"/>
      <c r="I300" s="255"/>
      <c r="J300" s="255"/>
      <c r="K300" s="255"/>
      <c r="L300" s="252"/>
      <c r="M300" s="252"/>
      <c r="N300" s="252"/>
    </row>
    <row r="301" spans="1:14" ht="18.3" x14ac:dyDescent="0.7">
      <c r="A301" s="252"/>
      <c r="B301" s="253" t="s">
        <v>261</v>
      </c>
      <c r="C301" s="252"/>
      <c r="D301" s="252"/>
      <c r="E301" s="252"/>
      <c r="F301" s="252"/>
      <c r="G301" s="252"/>
      <c r="H301" s="252"/>
      <c r="I301" s="252"/>
      <c r="J301" s="252"/>
      <c r="K301" s="252"/>
      <c r="L301" s="252"/>
      <c r="M301" s="252"/>
      <c r="N301" s="252"/>
    </row>
    <row r="302" spans="1:14" ht="17.7" x14ac:dyDescent="0.6">
      <c r="A302" s="252"/>
      <c r="B302" s="256"/>
      <c r="C302" s="257"/>
      <c r="D302" s="257"/>
      <c r="E302" s="257"/>
      <c r="F302" s="257"/>
      <c r="G302" s="257"/>
      <c r="H302" s="257"/>
      <c r="I302" s="258" t="s">
        <v>46</v>
      </c>
      <c r="J302" s="258" t="s">
        <v>78</v>
      </c>
      <c r="K302" s="258" t="s">
        <v>87</v>
      </c>
      <c r="L302" s="252"/>
      <c r="M302" s="252"/>
      <c r="N302" s="252"/>
    </row>
    <row r="303" spans="1:14" ht="15.6" x14ac:dyDescent="0.6">
      <c r="A303" s="252"/>
      <c r="B303" s="66" t="s">
        <v>18</v>
      </c>
      <c r="C303" s="259"/>
      <c r="D303" s="259"/>
      <c r="E303" s="259"/>
      <c r="F303" s="259"/>
      <c r="G303" s="259"/>
      <c r="H303" s="259"/>
      <c r="I303" s="198" t="s">
        <v>48</v>
      </c>
      <c r="J303" s="198" t="s">
        <v>49</v>
      </c>
      <c r="K303" s="198" t="s">
        <v>50</v>
      </c>
      <c r="L303" s="252"/>
      <c r="M303" s="252"/>
      <c r="N303" s="252"/>
    </row>
    <row r="304" spans="1:14" ht="15.6" x14ac:dyDescent="0.6">
      <c r="A304" s="252"/>
      <c r="B304" s="260" t="s">
        <v>4</v>
      </c>
      <c r="C304" s="259"/>
      <c r="D304" s="261">
        <f>$D$11</f>
        <v>6000</v>
      </c>
      <c r="E304" s="288" t="s">
        <v>212</v>
      </c>
      <c r="F304" s="325">
        <f>K50</f>
        <v>6.36</v>
      </c>
      <c r="G304" s="263">
        <f>L50</f>
        <v>9</v>
      </c>
      <c r="H304" s="264" t="s">
        <v>47</v>
      </c>
      <c r="I304" s="265">
        <f>CEILING(D304*F304*G304,10)</f>
        <v>343440</v>
      </c>
      <c r="J304" s="179">
        <f>I304/$D$5</f>
        <v>57.24</v>
      </c>
      <c r="K304" s="266">
        <f>I304/$D$4</f>
        <v>343.44</v>
      </c>
      <c r="L304" s="252"/>
      <c r="M304" s="252"/>
      <c r="N304" s="252"/>
    </row>
    <row r="305" spans="1:14" ht="15.6" x14ac:dyDescent="0.6">
      <c r="A305" s="252"/>
      <c r="B305" s="260"/>
      <c r="C305" s="259"/>
      <c r="D305" s="261"/>
      <c r="E305" s="314" t="s">
        <v>214</v>
      </c>
      <c r="F305" s="289"/>
      <c r="G305" s="263"/>
      <c r="H305" s="264"/>
      <c r="I305" s="265"/>
      <c r="J305" s="179"/>
      <c r="K305" s="266"/>
      <c r="L305" s="252"/>
      <c r="M305" s="252"/>
      <c r="N305" s="252"/>
    </row>
    <row r="306" spans="1:14" ht="15.6" x14ac:dyDescent="0.6">
      <c r="A306" s="252"/>
      <c r="B306" s="260" t="s">
        <v>22</v>
      </c>
      <c r="C306" s="259"/>
      <c r="D306" s="261"/>
      <c r="E306" s="327" t="s">
        <v>225</v>
      </c>
      <c r="F306" s="259"/>
      <c r="G306" s="259"/>
      <c r="H306" s="259"/>
      <c r="I306" s="265"/>
      <c r="J306" s="265"/>
      <c r="K306" s="265"/>
      <c r="L306" s="252"/>
      <c r="M306" s="252"/>
      <c r="N306" s="252"/>
    </row>
    <row r="307" spans="1:14" ht="15.6" x14ac:dyDescent="0.6">
      <c r="A307" s="252"/>
      <c r="B307" s="66"/>
      <c r="C307" s="267" t="s">
        <v>19</v>
      </c>
      <c r="D307" s="261">
        <f>D$17+D$11*'Step 3'!F146</f>
        <v>900</v>
      </c>
      <c r="E307" s="328">
        <f>-(D$17-D307)/D$17</f>
        <v>0</v>
      </c>
      <c r="F307" s="346">
        <f>G50</f>
        <v>40</v>
      </c>
      <c r="G307" s="259" t="s">
        <v>55</v>
      </c>
      <c r="H307" s="252"/>
      <c r="I307" s="265">
        <f>CEILING(D307*F307,10)</f>
        <v>36000</v>
      </c>
      <c r="J307" s="179">
        <f t="shared" ref="J307:J308" si="62">I307/$D$5</f>
        <v>6</v>
      </c>
      <c r="K307" s="266">
        <f t="shared" ref="K307:K308" si="63">I307/$D$4</f>
        <v>36</v>
      </c>
      <c r="L307" s="252"/>
      <c r="M307" s="252"/>
      <c r="N307" s="252"/>
    </row>
    <row r="308" spans="1:14" ht="15.6" x14ac:dyDescent="0.6">
      <c r="A308" s="252"/>
      <c r="B308" s="66"/>
      <c r="C308" s="267" t="s">
        <v>215</v>
      </c>
      <c r="D308" s="261">
        <f>D$18+D$12*'Step 3'!F146</f>
        <v>375</v>
      </c>
      <c r="E308" s="328">
        <f>-(D$18-D308)/D$18</f>
        <v>0</v>
      </c>
      <c r="F308" s="346">
        <f>H50</f>
        <v>40</v>
      </c>
      <c r="G308" s="259" t="s">
        <v>55</v>
      </c>
      <c r="H308" s="252"/>
      <c r="I308" s="265">
        <f>CEILING(D308*F308,10)</f>
        <v>15000</v>
      </c>
      <c r="J308" s="179">
        <f t="shared" si="62"/>
        <v>2.5</v>
      </c>
      <c r="K308" s="266">
        <f t="shared" si="63"/>
        <v>15</v>
      </c>
      <c r="L308" s="252"/>
      <c r="M308" s="252"/>
      <c r="N308" s="252"/>
    </row>
    <row r="309" spans="1:14" ht="15.6" x14ac:dyDescent="0.6">
      <c r="A309" s="252"/>
      <c r="B309" s="66"/>
      <c r="C309" s="267" t="s">
        <v>20</v>
      </c>
      <c r="D309" s="261"/>
      <c r="E309" s="326"/>
      <c r="F309" s="326"/>
      <c r="G309" s="326"/>
      <c r="H309" s="326"/>
      <c r="I309" s="127"/>
      <c r="J309" s="127"/>
      <c r="K309" s="127"/>
      <c r="L309" s="252"/>
      <c r="M309" s="252"/>
      <c r="N309" s="252"/>
    </row>
    <row r="310" spans="1:14" ht="15.6" x14ac:dyDescent="0.6">
      <c r="A310" s="252"/>
      <c r="B310" s="66"/>
      <c r="C310" s="273" t="s">
        <v>216</v>
      </c>
      <c r="D310" s="261">
        <f>D$59*D50</f>
        <v>5400</v>
      </c>
      <c r="E310" s="326"/>
      <c r="F310" s="269"/>
      <c r="G310" s="259"/>
      <c r="H310" s="252"/>
      <c r="I310" s="265"/>
      <c r="J310" s="179"/>
      <c r="K310" s="266"/>
      <c r="L310" s="252"/>
      <c r="M310" s="252"/>
      <c r="N310" s="252"/>
    </row>
    <row r="311" spans="1:14" ht="15.6" x14ac:dyDescent="0.6">
      <c r="A311" s="252"/>
      <c r="B311" s="66"/>
      <c r="C311" s="273" t="s">
        <v>98</v>
      </c>
      <c r="D311" s="261">
        <f>-D$11*E50</f>
        <v>-300</v>
      </c>
      <c r="E311" s="326"/>
      <c r="F311" s="269"/>
      <c r="G311" s="259"/>
      <c r="H311" s="252"/>
      <c r="I311" s="265"/>
      <c r="J311" s="179"/>
      <c r="K311" s="266"/>
      <c r="L311" s="252"/>
      <c r="M311" s="252"/>
      <c r="N311" s="252"/>
    </row>
    <row r="312" spans="1:14" ht="15.6" x14ac:dyDescent="0.6">
      <c r="A312" s="252"/>
      <c r="B312" s="66"/>
      <c r="C312" s="273" t="s">
        <v>222</v>
      </c>
      <c r="D312" s="261">
        <f>-D307</f>
        <v>-900</v>
      </c>
      <c r="E312" s="326"/>
      <c r="F312" s="269"/>
      <c r="G312" s="259"/>
      <c r="H312" s="252"/>
      <c r="I312" s="265"/>
      <c r="J312" s="179"/>
      <c r="K312" s="266"/>
      <c r="L312" s="252"/>
      <c r="M312" s="252"/>
      <c r="N312" s="252"/>
    </row>
    <row r="313" spans="1:14" ht="15.6" x14ac:dyDescent="0.6">
      <c r="A313" s="252"/>
      <c r="B313" s="66"/>
      <c r="C313" s="273" t="s">
        <v>210</v>
      </c>
      <c r="D313" s="261">
        <f>-D$12*F50</f>
        <v>-50</v>
      </c>
      <c r="E313" s="326"/>
      <c r="F313" s="269"/>
      <c r="G313" s="259"/>
      <c r="H313" s="252"/>
      <c r="I313" s="265"/>
      <c r="J313" s="179"/>
      <c r="K313" s="266"/>
      <c r="L313" s="252"/>
      <c r="M313" s="252"/>
      <c r="N313" s="252"/>
    </row>
    <row r="314" spans="1:14" ht="15.6" x14ac:dyDescent="0.6">
      <c r="A314" s="252"/>
      <c r="B314" s="66"/>
      <c r="C314" s="273" t="s">
        <v>217</v>
      </c>
      <c r="D314" s="285">
        <f>-D308</f>
        <v>-375</v>
      </c>
      <c r="E314" s="326"/>
      <c r="F314" s="269"/>
      <c r="G314" s="259"/>
      <c r="H314" s="252"/>
      <c r="I314" s="265"/>
      <c r="J314" s="179"/>
      <c r="K314" s="266"/>
      <c r="L314" s="252"/>
      <c r="M314" s="252"/>
      <c r="N314" s="252"/>
    </row>
    <row r="315" spans="1:14" ht="15.6" x14ac:dyDescent="0.6">
      <c r="A315" s="252"/>
      <c r="B315" s="66"/>
      <c r="C315" s="267"/>
      <c r="D315" s="261">
        <f>SUM(D310:D314)</f>
        <v>3775</v>
      </c>
      <c r="E315" s="329">
        <f>-(D$19-D315)/D$19</f>
        <v>0</v>
      </c>
      <c r="F315" s="263">
        <f>I50</f>
        <v>60</v>
      </c>
      <c r="G315" s="259" t="s">
        <v>55</v>
      </c>
      <c r="H315" s="252"/>
      <c r="I315" s="265">
        <f>D315*F315</f>
        <v>226500</v>
      </c>
      <c r="J315" s="179">
        <f>I315/$D$5</f>
        <v>37.75</v>
      </c>
      <c r="K315" s="266">
        <f>I315/$D$4</f>
        <v>226.5</v>
      </c>
      <c r="L315" s="252"/>
      <c r="M315" s="252"/>
      <c r="N315" s="252"/>
    </row>
    <row r="316" spans="1:14" ht="15.6" x14ac:dyDescent="0.6">
      <c r="A316" s="252"/>
      <c r="B316" s="66"/>
      <c r="C316" s="267" t="s">
        <v>21</v>
      </c>
      <c r="D316" s="261">
        <f>D$25</f>
        <v>12</v>
      </c>
      <c r="E316" s="268" t="s">
        <v>57</v>
      </c>
      <c r="F316" s="263">
        <f>J50</f>
        <v>40</v>
      </c>
      <c r="G316" s="259" t="s">
        <v>55</v>
      </c>
      <c r="H316" s="252"/>
      <c r="I316" s="270">
        <f>CEILING(D316*F316,10)</f>
        <v>480</v>
      </c>
      <c r="J316" s="271">
        <f t="shared" ref="J316" si="64">I316/$D$5</f>
        <v>0.08</v>
      </c>
      <c r="K316" s="272">
        <f t="shared" ref="K316:K317" si="65">I316/$D$4</f>
        <v>0.48</v>
      </c>
      <c r="L316" s="252"/>
      <c r="M316" s="252"/>
      <c r="N316" s="252"/>
    </row>
    <row r="317" spans="1:14" ht="15.6" x14ac:dyDescent="0.6">
      <c r="A317" s="252"/>
      <c r="B317" s="66"/>
      <c r="C317" s="267"/>
      <c r="D317" s="267"/>
      <c r="E317" s="268"/>
      <c r="F317" s="268"/>
      <c r="G317" s="259"/>
      <c r="H317" s="259"/>
      <c r="I317" s="265">
        <f>SUM(I307:I316)</f>
        <v>277980</v>
      </c>
      <c r="J317" s="179">
        <f>I317/$D$5</f>
        <v>46.33</v>
      </c>
      <c r="K317" s="266">
        <f t="shared" si="65"/>
        <v>277.98</v>
      </c>
      <c r="L317" s="252"/>
      <c r="M317" s="252"/>
      <c r="N317" s="252"/>
    </row>
    <row r="318" spans="1:14" ht="15.6" x14ac:dyDescent="0.6">
      <c r="A318" s="252"/>
      <c r="B318" s="260" t="s">
        <v>28</v>
      </c>
      <c r="C318" s="273"/>
      <c r="D318" s="273"/>
      <c r="E318" s="268"/>
      <c r="F318" s="268"/>
      <c r="G318" s="259"/>
      <c r="H318" s="259"/>
      <c r="I318" s="265"/>
      <c r="J318" s="265"/>
      <c r="K318" s="265"/>
      <c r="L318" s="252"/>
      <c r="M318" s="252"/>
      <c r="N318" s="252"/>
    </row>
    <row r="319" spans="1:14" ht="15.6" x14ac:dyDescent="0.6">
      <c r="A319" s="252"/>
      <c r="B319" s="274"/>
      <c r="C319" s="267" t="s">
        <v>1</v>
      </c>
      <c r="D319" s="261" t="s">
        <v>99</v>
      </c>
      <c r="E319" s="268"/>
      <c r="F319" s="268"/>
      <c r="G319" s="259"/>
      <c r="H319" s="259"/>
      <c r="I319" s="266">
        <v>0</v>
      </c>
      <c r="J319" s="179">
        <f t="shared" ref="J319:J322" si="66">I319/$D$5</f>
        <v>0</v>
      </c>
      <c r="K319" s="266">
        <f t="shared" ref="K319:K322" si="67">I319/$D$4</f>
        <v>0</v>
      </c>
      <c r="L319" s="252"/>
      <c r="M319" s="252"/>
      <c r="N319" s="252"/>
    </row>
    <row r="320" spans="1:14" ht="15.6" x14ac:dyDescent="0.6">
      <c r="A320" s="252"/>
      <c r="B320" s="274"/>
      <c r="C320" s="267" t="s">
        <v>133</v>
      </c>
      <c r="D320" s="261" t="s">
        <v>134</v>
      </c>
      <c r="E320" s="268"/>
      <c r="F320" s="268"/>
      <c r="G320" s="259"/>
      <c r="H320" s="259"/>
      <c r="I320" s="266">
        <v>0</v>
      </c>
      <c r="J320" s="179">
        <f t="shared" si="66"/>
        <v>0</v>
      </c>
      <c r="K320" s="266">
        <f t="shared" si="67"/>
        <v>0</v>
      </c>
      <c r="L320" s="252"/>
      <c r="M320" s="252"/>
      <c r="N320" s="252"/>
    </row>
    <row r="321" spans="1:14" ht="15.6" x14ac:dyDescent="0.6">
      <c r="A321" s="252"/>
      <c r="B321" s="274"/>
      <c r="C321" s="267" t="s">
        <v>2</v>
      </c>
      <c r="D321" s="261">
        <f>D$25</f>
        <v>12</v>
      </c>
      <c r="E321" s="268" t="s">
        <v>57</v>
      </c>
      <c r="F321" s="269">
        <f>F$25</f>
        <v>800</v>
      </c>
      <c r="G321" s="259" t="s">
        <v>58</v>
      </c>
      <c r="H321" s="259"/>
      <c r="I321" s="272">
        <f>CEILING(-D321*F321,10)</f>
        <v>-9600</v>
      </c>
      <c r="J321" s="271">
        <f t="shared" si="66"/>
        <v>-1.6</v>
      </c>
      <c r="K321" s="272">
        <f t="shared" si="67"/>
        <v>-9.6</v>
      </c>
      <c r="L321" s="252"/>
      <c r="M321" s="252"/>
      <c r="N321" s="252"/>
    </row>
    <row r="322" spans="1:14" ht="15.6" x14ac:dyDescent="0.6">
      <c r="A322" s="252"/>
      <c r="B322" s="66"/>
      <c r="C322" s="273"/>
      <c r="D322" s="273"/>
      <c r="E322" s="273"/>
      <c r="F322" s="273"/>
      <c r="G322" s="273"/>
      <c r="H322" s="273"/>
      <c r="I322" s="266">
        <f>SUM(I319:I321)</f>
        <v>-9600</v>
      </c>
      <c r="J322" s="179">
        <f t="shared" si="66"/>
        <v>-1.6</v>
      </c>
      <c r="K322" s="266">
        <f t="shared" si="67"/>
        <v>-9.6</v>
      </c>
      <c r="L322" s="252"/>
      <c r="M322" s="252"/>
      <c r="N322" s="252"/>
    </row>
    <row r="323" spans="1:14" ht="15.6" x14ac:dyDescent="0.6">
      <c r="A323" s="252"/>
      <c r="B323" s="275" t="s">
        <v>0</v>
      </c>
      <c r="C323" s="257"/>
      <c r="D323" s="257"/>
      <c r="E323" s="257"/>
      <c r="F323" s="257"/>
      <c r="G323" s="257"/>
      <c r="H323" s="257"/>
      <c r="I323" s="276">
        <f>I304+I317+I322</f>
        <v>611820</v>
      </c>
      <c r="J323" s="277">
        <f>J304+J317+J322</f>
        <v>101.97</v>
      </c>
      <c r="K323" s="278">
        <f>K304+K317+K322</f>
        <v>611.82000000000005</v>
      </c>
      <c r="L323" s="252"/>
      <c r="M323" s="252"/>
      <c r="N323" s="252"/>
    </row>
    <row r="324" spans="1:14" ht="15.6" x14ac:dyDescent="0.6">
      <c r="A324" s="252"/>
      <c r="B324" s="66" t="s">
        <v>23</v>
      </c>
      <c r="C324" s="259"/>
      <c r="D324" s="259"/>
      <c r="E324" s="259"/>
      <c r="F324" s="259"/>
      <c r="G324" s="259"/>
      <c r="H324" s="259"/>
      <c r="I324" s="198" t="s">
        <v>48</v>
      </c>
      <c r="J324" s="198" t="s">
        <v>49</v>
      </c>
      <c r="K324" s="198" t="s">
        <v>50</v>
      </c>
      <c r="L324" s="252"/>
      <c r="M324" s="252"/>
      <c r="N324" s="252"/>
    </row>
    <row r="325" spans="1:14" ht="15.6" x14ac:dyDescent="0.6">
      <c r="A325" s="252"/>
      <c r="B325" s="260" t="s">
        <v>3</v>
      </c>
      <c r="C325" s="259"/>
      <c r="D325" s="259"/>
      <c r="E325" s="259"/>
      <c r="F325" s="259"/>
      <c r="G325" s="259"/>
      <c r="L325" s="252"/>
      <c r="M325" s="252"/>
      <c r="N325" s="252"/>
    </row>
    <row r="326" spans="1:14" ht="15.6" x14ac:dyDescent="0.6">
      <c r="A326" s="252"/>
      <c r="B326" s="260"/>
      <c r="C326" s="259" t="s">
        <v>224</v>
      </c>
      <c r="D326" s="261">
        <f>D$15</f>
        <v>10185</v>
      </c>
      <c r="E326" s="262" t="s">
        <v>57</v>
      </c>
      <c r="F326" s="263">
        <f>F$30</f>
        <v>3.5</v>
      </c>
      <c r="G326" s="264" t="s">
        <v>204</v>
      </c>
      <c r="H326" s="259"/>
      <c r="I326" s="265">
        <f>CEILING(D326*F326,10)</f>
        <v>35650</v>
      </c>
      <c r="J326" s="179">
        <f>I326/$D$5</f>
        <v>5.9416666666666664</v>
      </c>
      <c r="K326" s="266">
        <f>I326/$D$4</f>
        <v>35.65</v>
      </c>
      <c r="L326" s="252"/>
      <c r="M326" s="252"/>
      <c r="N326" s="252"/>
    </row>
    <row r="327" spans="1:14" ht="15.6" x14ac:dyDescent="0.6">
      <c r="A327" s="252"/>
      <c r="B327" s="260"/>
      <c r="C327" s="259" t="s">
        <v>135</v>
      </c>
      <c r="D327" s="261">
        <f>D310</f>
        <v>5400</v>
      </c>
      <c r="E327" s="262" t="s">
        <v>57</v>
      </c>
      <c r="F327" s="263">
        <f>F$31</f>
        <v>3.5</v>
      </c>
      <c r="G327" s="264" t="s">
        <v>204</v>
      </c>
      <c r="H327" s="259"/>
      <c r="I327" s="265">
        <f>CEILING(D327*F327,10)</f>
        <v>18900</v>
      </c>
      <c r="J327" s="179">
        <f>I327/$D$5</f>
        <v>3.15</v>
      </c>
      <c r="K327" s="266">
        <f>I327/$D$4</f>
        <v>18.899999999999999</v>
      </c>
      <c r="L327" s="252"/>
      <c r="M327" s="252"/>
      <c r="N327" s="252"/>
    </row>
    <row r="328" spans="1:14" ht="15.6" x14ac:dyDescent="0.6">
      <c r="A328" s="252"/>
      <c r="B328" s="260" t="s">
        <v>97</v>
      </c>
      <c r="C328" s="259"/>
      <c r="D328" s="261">
        <f>D326</f>
        <v>10185</v>
      </c>
      <c r="E328" s="262" t="s">
        <v>57</v>
      </c>
      <c r="F328" s="263">
        <f>I328/D328</f>
        <v>0</v>
      </c>
      <c r="G328" s="264" t="s">
        <v>204</v>
      </c>
      <c r="H328" s="259"/>
      <c r="I328" s="265">
        <f>'Step 3'!F93</f>
        <v>0</v>
      </c>
      <c r="J328" s="179">
        <f t="shared" ref="J328:J332" si="68">I328/$D$5</f>
        <v>0</v>
      </c>
      <c r="K328" s="266">
        <f t="shared" ref="K328:K332" si="69">I328/$D$4</f>
        <v>0</v>
      </c>
      <c r="L328" s="252"/>
      <c r="M328" s="252"/>
      <c r="N328" s="252"/>
    </row>
    <row r="329" spans="1:14" ht="15.6" x14ac:dyDescent="0.6">
      <c r="A329" s="252"/>
      <c r="B329" s="260" t="s">
        <v>24</v>
      </c>
      <c r="C329" s="259"/>
      <c r="D329" s="261">
        <f>D326</f>
        <v>10185</v>
      </c>
      <c r="E329" s="262" t="str">
        <f>E326</f>
        <v>hd @</v>
      </c>
      <c r="F329" s="263">
        <f>F$33</f>
        <v>6.5</v>
      </c>
      <c r="G329" s="264" t="s">
        <v>204</v>
      </c>
      <c r="H329" s="259"/>
      <c r="I329" s="265">
        <f>CEILING(D329*F329,10)</f>
        <v>66210</v>
      </c>
      <c r="J329" s="179">
        <f t="shared" si="68"/>
        <v>11.035</v>
      </c>
      <c r="K329" s="266">
        <f t="shared" si="69"/>
        <v>66.209999999999994</v>
      </c>
      <c r="L329" s="252"/>
      <c r="M329" s="252"/>
      <c r="N329" s="252"/>
    </row>
    <row r="330" spans="1:14" ht="15.6" x14ac:dyDescent="0.6">
      <c r="A330" s="252"/>
      <c r="B330" s="260" t="s">
        <v>25</v>
      </c>
      <c r="C330" s="259"/>
      <c r="D330" s="279">
        <f>D304*F304/170</f>
        <v>224.47058823529412</v>
      </c>
      <c r="E330" s="262" t="s">
        <v>59</v>
      </c>
      <c r="F330" s="263">
        <f>F$34</f>
        <v>20</v>
      </c>
      <c r="G330" s="264" t="s">
        <v>60</v>
      </c>
      <c r="H330" s="259"/>
      <c r="I330" s="265">
        <f>CEILING(D330*F330,10)</f>
        <v>4490</v>
      </c>
      <c r="J330" s="179">
        <f t="shared" si="68"/>
        <v>0.74833333333333329</v>
      </c>
      <c r="K330" s="266">
        <f t="shared" si="69"/>
        <v>4.49</v>
      </c>
      <c r="L330" s="252"/>
      <c r="M330" s="252"/>
      <c r="N330" s="252"/>
    </row>
    <row r="331" spans="1:14" ht="15.6" x14ac:dyDescent="0.6">
      <c r="A331" s="252"/>
      <c r="B331" s="260" t="s">
        <v>26</v>
      </c>
      <c r="C331" s="259"/>
      <c r="D331" s="259"/>
      <c r="E331" s="259"/>
      <c r="F331" s="263">
        <f>F$35</f>
        <v>15</v>
      </c>
      <c r="G331" s="264" t="s">
        <v>60</v>
      </c>
      <c r="H331" s="259"/>
      <c r="I331" s="265">
        <f>CEILING(D330*F331,10)</f>
        <v>3370</v>
      </c>
      <c r="J331" s="179">
        <f t="shared" si="68"/>
        <v>0.56166666666666665</v>
      </c>
      <c r="K331" s="266">
        <f t="shared" si="69"/>
        <v>3.37</v>
      </c>
      <c r="L331" s="252"/>
      <c r="M331" s="252"/>
      <c r="N331" s="252"/>
    </row>
    <row r="332" spans="1:14" ht="15.6" x14ac:dyDescent="0.6">
      <c r="A332" s="252"/>
      <c r="B332" s="260" t="s">
        <v>27</v>
      </c>
      <c r="C332" s="259"/>
      <c r="D332" s="261">
        <f>D307+D308+D315+D316+D321</f>
        <v>5074</v>
      </c>
      <c r="E332" s="268" t="s">
        <v>57</v>
      </c>
      <c r="F332" s="263">
        <f>F$36</f>
        <v>2</v>
      </c>
      <c r="G332" s="264" t="s">
        <v>61</v>
      </c>
      <c r="H332" s="259"/>
      <c r="I332" s="265">
        <f>CEILING(D332*F332,10)</f>
        <v>10150</v>
      </c>
      <c r="J332" s="179">
        <f t="shared" si="68"/>
        <v>1.6916666666666667</v>
      </c>
      <c r="K332" s="266">
        <f t="shared" si="69"/>
        <v>10.15</v>
      </c>
      <c r="L332" s="252"/>
      <c r="M332" s="252"/>
      <c r="N332" s="252"/>
    </row>
    <row r="333" spans="1:14" ht="15.6" x14ac:dyDescent="0.6">
      <c r="A333" s="252"/>
      <c r="B333" s="275" t="s">
        <v>41</v>
      </c>
      <c r="C333" s="257"/>
      <c r="D333" s="257"/>
      <c r="E333" s="280"/>
      <c r="F333" s="257"/>
      <c r="G333" s="257"/>
      <c r="H333" s="257"/>
      <c r="I333" s="276">
        <f>SUM(I326:I332)</f>
        <v>138770</v>
      </c>
      <c r="J333" s="277">
        <f>SUM(J326:J332)</f>
        <v>23.128333333333334</v>
      </c>
      <c r="K333" s="278">
        <f>SUM(K326:K332)</f>
        <v>138.76999999999998</v>
      </c>
      <c r="L333" s="252"/>
      <c r="M333" s="252"/>
      <c r="N333" s="252"/>
    </row>
    <row r="334" spans="1:14" ht="15.6" x14ac:dyDescent="0.6">
      <c r="A334" s="252"/>
      <c r="B334" s="281" t="s">
        <v>62</v>
      </c>
      <c r="C334" s="257"/>
      <c r="D334" s="257"/>
      <c r="E334" s="280"/>
      <c r="F334" s="257"/>
      <c r="G334" s="257"/>
      <c r="H334" s="257"/>
      <c r="I334" s="276">
        <f>I323-I333</f>
        <v>473050</v>
      </c>
      <c r="J334" s="277">
        <f>J323-J333</f>
        <v>78.841666666666669</v>
      </c>
      <c r="K334" s="278">
        <f>K323-K333</f>
        <v>473.05000000000007</v>
      </c>
      <c r="L334" s="252"/>
      <c r="M334" s="252"/>
      <c r="N334" s="252"/>
    </row>
    <row r="335" spans="1:14" ht="15.6" x14ac:dyDescent="0.6">
      <c r="A335" s="252"/>
      <c r="B335" s="282"/>
      <c r="C335" s="255"/>
      <c r="D335" s="255"/>
      <c r="E335" s="255"/>
      <c r="F335" s="255"/>
      <c r="G335" s="255"/>
      <c r="H335" s="255"/>
      <c r="I335" s="255"/>
      <c r="J335" s="255"/>
      <c r="K335" s="255"/>
      <c r="L335" s="252"/>
      <c r="M335" s="252"/>
      <c r="N335" s="252"/>
    </row>
    <row r="336" spans="1:14" ht="18.3" x14ac:dyDescent="0.7">
      <c r="A336" s="252"/>
      <c r="B336" s="253" t="s">
        <v>262</v>
      </c>
      <c r="C336" s="252"/>
      <c r="D336" s="252"/>
      <c r="E336" s="252"/>
      <c r="F336" s="252"/>
      <c r="G336" s="252"/>
      <c r="H336" s="252"/>
      <c r="I336" s="252"/>
      <c r="J336" s="252"/>
      <c r="K336" s="252"/>
      <c r="L336" s="252"/>
      <c r="M336" s="252"/>
      <c r="N336" s="252"/>
    </row>
    <row r="337" spans="1:14" ht="17.7" x14ac:dyDescent="0.6">
      <c r="A337" s="252"/>
      <c r="B337" s="256"/>
      <c r="C337" s="257"/>
      <c r="D337" s="257"/>
      <c r="E337" s="257"/>
      <c r="F337" s="257"/>
      <c r="G337" s="257"/>
      <c r="H337" s="257"/>
      <c r="I337" s="258" t="s">
        <v>46</v>
      </c>
      <c r="J337" s="258" t="s">
        <v>78</v>
      </c>
      <c r="K337" s="258" t="s">
        <v>87</v>
      </c>
      <c r="L337" s="252"/>
      <c r="M337" s="252"/>
      <c r="N337" s="252"/>
    </row>
    <row r="338" spans="1:14" ht="15.6" x14ac:dyDescent="0.6">
      <c r="A338" s="252"/>
      <c r="B338" s="66" t="s">
        <v>18</v>
      </c>
      <c r="C338" s="259"/>
      <c r="D338" s="259"/>
      <c r="E338" s="259"/>
      <c r="F338" s="259"/>
      <c r="G338" s="259"/>
      <c r="H338" s="259"/>
      <c r="I338" s="198" t="s">
        <v>48</v>
      </c>
      <c r="J338" s="198" t="s">
        <v>49</v>
      </c>
      <c r="K338" s="198" t="s">
        <v>50</v>
      </c>
      <c r="L338" s="252"/>
      <c r="M338" s="252"/>
      <c r="N338" s="252"/>
    </row>
    <row r="339" spans="1:14" ht="15.6" x14ac:dyDescent="0.6">
      <c r="A339" s="252"/>
      <c r="B339" s="260" t="s">
        <v>4</v>
      </c>
      <c r="C339" s="259"/>
      <c r="D339" s="261">
        <f>$D$11</f>
        <v>6000</v>
      </c>
      <c r="E339" s="288" t="s">
        <v>212</v>
      </c>
      <c r="F339" s="325">
        <f>K51</f>
        <v>6.36</v>
      </c>
      <c r="G339" s="263">
        <f>L51</f>
        <v>9</v>
      </c>
      <c r="H339" s="264" t="s">
        <v>47</v>
      </c>
      <c r="I339" s="265">
        <f>CEILING(D339*F339*G339,10)</f>
        <v>343440</v>
      </c>
      <c r="J339" s="179">
        <f>I339/$D$5</f>
        <v>57.24</v>
      </c>
      <c r="K339" s="266">
        <f>I339/$D$4</f>
        <v>343.44</v>
      </c>
      <c r="L339" s="252"/>
      <c r="M339" s="252"/>
      <c r="N339" s="252"/>
    </row>
    <row r="340" spans="1:14" ht="15.6" x14ac:dyDescent="0.6">
      <c r="A340" s="252"/>
      <c r="B340" s="260"/>
      <c r="C340" s="259"/>
      <c r="D340" s="261"/>
      <c r="E340" s="314" t="s">
        <v>214</v>
      </c>
      <c r="F340" s="289"/>
      <c r="G340" s="263"/>
      <c r="H340" s="264"/>
      <c r="I340" s="265"/>
      <c r="J340" s="179"/>
      <c r="K340" s="266"/>
      <c r="L340" s="252"/>
      <c r="M340" s="252"/>
      <c r="N340" s="252"/>
    </row>
    <row r="341" spans="1:14" ht="15.6" x14ac:dyDescent="0.6">
      <c r="A341" s="252"/>
      <c r="B341" s="260" t="s">
        <v>22</v>
      </c>
      <c r="C341" s="259"/>
      <c r="D341" s="261"/>
      <c r="E341" s="327" t="s">
        <v>225</v>
      </c>
      <c r="F341" s="259"/>
      <c r="G341" s="259"/>
      <c r="H341" s="259"/>
      <c r="I341" s="265"/>
      <c r="J341" s="265"/>
      <c r="K341" s="265"/>
      <c r="L341" s="252"/>
      <c r="M341" s="252"/>
      <c r="N341" s="252"/>
    </row>
    <row r="342" spans="1:14" ht="15.6" x14ac:dyDescent="0.6">
      <c r="A342" s="252"/>
      <c r="B342" s="66"/>
      <c r="C342" s="267" t="s">
        <v>19</v>
      </c>
      <c r="D342" s="261">
        <f>D$17+D$11*'Step 3'!F147</f>
        <v>900</v>
      </c>
      <c r="E342" s="328">
        <f>-(D$17-D342)/D$17</f>
        <v>0</v>
      </c>
      <c r="F342" s="346">
        <f>G51</f>
        <v>40</v>
      </c>
      <c r="G342" s="259" t="s">
        <v>55</v>
      </c>
      <c r="H342" s="252"/>
      <c r="I342" s="265">
        <f>CEILING(D342*F342,10)</f>
        <v>36000</v>
      </c>
      <c r="J342" s="179">
        <f t="shared" ref="J342:J343" si="70">I342/$D$5</f>
        <v>6</v>
      </c>
      <c r="K342" s="266">
        <f t="shared" ref="K342:K343" si="71">I342/$D$4</f>
        <v>36</v>
      </c>
      <c r="L342" s="252"/>
      <c r="M342" s="252"/>
      <c r="N342" s="252"/>
    </row>
    <row r="343" spans="1:14" ht="15.6" x14ac:dyDescent="0.6">
      <c r="A343" s="252"/>
      <c r="B343" s="66"/>
      <c r="C343" s="267" t="s">
        <v>215</v>
      </c>
      <c r="D343" s="261">
        <f>D$18+D$12*'Step 3'!F147</f>
        <v>375</v>
      </c>
      <c r="E343" s="328">
        <f>-(D$18-D343)/D$18</f>
        <v>0</v>
      </c>
      <c r="F343" s="346">
        <f>H51</f>
        <v>40</v>
      </c>
      <c r="G343" s="259" t="s">
        <v>55</v>
      </c>
      <c r="H343" s="252"/>
      <c r="I343" s="265">
        <f>CEILING(D343*F343,10)</f>
        <v>15000</v>
      </c>
      <c r="J343" s="179">
        <f t="shared" si="70"/>
        <v>2.5</v>
      </c>
      <c r="K343" s="266">
        <f t="shared" si="71"/>
        <v>15</v>
      </c>
      <c r="L343" s="252"/>
      <c r="M343" s="252"/>
      <c r="N343" s="252"/>
    </row>
    <row r="344" spans="1:14" ht="15.6" x14ac:dyDescent="0.6">
      <c r="A344" s="252"/>
      <c r="B344" s="66"/>
      <c r="C344" s="267" t="s">
        <v>20</v>
      </c>
      <c r="D344" s="261"/>
      <c r="E344" s="326"/>
      <c r="F344" s="326"/>
      <c r="G344" s="326"/>
      <c r="H344" s="326"/>
      <c r="I344" s="127"/>
      <c r="J344" s="127"/>
      <c r="K344" s="127"/>
      <c r="L344" s="252"/>
      <c r="M344" s="252"/>
      <c r="N344" s="252"/>
    </row>
    <row r="345" spans="1:14" ht="15.6" x14ac:dyDescent="0.6">
      <c r="A345" s="252"/>
      <c r="B345" s="66"/>
      <c r="C345" s="273" t="s">
        <v>216</v>
      </c>
      <c r="D345" s="261">
        <f>D$59*D51</f>
        <v>5400</v>
      </c>
      <c r="E345" s="326"/>
      <c r="F345" s="269"/>
      <c r="G345" s="259"/>
      <c r="H345" s="252"/>
      <c r="I345" s="265"/>
      <c r="J345" s="179"/>
      <c r="K345" s="266"/>
      <c r="L345" s="252"/>
      <c r="M345" s="252"/>
      <c r="N345" s="252"/>
    </row>
    <row r="346" spans="1:14" ht="15.6" x14ac:dyDescent="0.6">
      <c r="A346" s="252"/>
      <c r="B346" s="66"/>
      <c r="C346" s="273" t="s">
        <v>98</v>
      </c>
      <c r="D346" s="261">
        <f>-D$11*E51</f>
        <v>-300</v>
      </c>
      <c r="E346" s="326"/>
      <c r="F346" s="269"/>
      <c r="G346" s="259"/>
      <c r="H346" s="252"/>
      <c r="I346" s="265"/>
      <c r="J346" s="179"/>
      <c r="K346" s="266"/>
      <c r="L346" s="252"/>
      <c r="M346" s="252"/>
      <c r="N346" s="252"/>
    </row>
    <row r="347" spans="1:14" ht="15.6" x14ac:dyDescent="0.6">
      <c r="A347" s="252"/>
      <c r="B347" s="66"/>
      <c r="C347" s="273" t="s">
        <v>222</v>
      </c>
      <c r="D347" s="261">
        <f>-D342</f>
        <v>-900</v>
      </c>
      <c r="E347" s="326"/>
      <c r="F347" s="269"/>
      <c r="G347" s="259"/>
      <c r="H347" s="252"/>
      <c r="I347" s="265"/>
      <c r="J347" s="179"/>
      <c r="K347" s="266"/>
      <c r="L347" s="252"/>
      <c r="M347" s="252"/>
      <c r="N347" s="252"/>
    </row>
    <row r="348" spans="1:14" ht="15.6" x14ac:dyDescent="0.6">
      <c r="A348" s="252"/>
      <c r="B348" s="66"/>
      <c r="C348" s="273" t="s">
        <v>210</v>
      </c>
      <c r="D348" s="261">
        <f>-D$12*F51</f>
        <v>-50</v>
      </c>
      <c r="E348" s="326"/>
      <c r="F348" s="269"/>
      <c r="G348" s="259"/>
      <c r="H348" s="252"/>
      <c r="I348" s="265"/>
      <c r="J348" s="179"/>
      <c r="K348" s="266"/>
      <c r="L348" s="252"/>
      <c r="M348" s="252"/>
      <c r="N348" s="252"/>
    </row>
    <row r="349" spans="1:14" ht="15.6" x14ac:dyDescent="0.6">
      <c r="A349" s="252"/>
      <c r="B349" s="66"/>
      <c r="C349" s="273" t="s">
        <v>217</v>
      </c>
      <c r="D349" s="285">
        <f>-D343</f>
        <v>-375</v>
      </c>
      <c r="E349" s="326"/>
      <c r="F349" s="269"/>
      <c r="G349" s="259"/>
      <c r="H349" s="252"/>
      <c r="I349" s="265"/>
      <c r="J349" s="179"/>
      <c r="K349" s="266"/>
      <c r="L349" s="252"/>
      <c r="M349" s="252"/>
      <c r="N349" s="252"/>
    </row>
    <row r="350" spans="1:14" ht="15.6" x14ac:dyDescent="0.6">
      <c r="A350" s="252"/>
      <c r="B350" s="66"/>
      <c r="C350" s="267"/>
      <c r="D350" s="261">
        <f>SUM(D345:D349)</f>
        <v>3775</v>
      </c>
      <c r="E350" s="329">
        <f>-(D$19-D350)/D$19</f>
        <v>0</v>
      </c>
      <c r="F350" s="263">
        <f>I51</f>
        <v>60</v>
      </c>
      <c r="G350" s="259" t="s">
        <v>55</v>
      </c>
      <c r="H350" s="252"/>
      <c r="I350" s="265">
        <f>D350*F350</f>
        <v>226500</v>
      </c>
      <c r="J350" s="179">
        <f>I350/$D$5</f>
        <v>37.75</v>
      </c>
      <c r="K350" s="266">
        <f>I350/$D$4</f>
        <v>226.5</v>
      </c>
      <c r="L350" s="252"/>
      <c r="M350" s="252"/>
      <c r="N350" s="252"/>
    </row>
    <row r="351" spans="1:14" ht="15.6" x14ac:dyDescent="0.6">
      <c r="A351" s="252"/>
      <c r="B351" s="66"/>
      <c r="C351" s="267" t="s">
        <v>21</v>
      </c>
      <c r="D351" s="261">
        <f>D$25</f>
        <v>12</v>
      </c>
      <c r="E351" s="268" t="s">
        <v>57</v>
      </c>
      <c r="F351" s="263">
        <f>J51</f>
        <v>40</v>
      </c>
      <c r="G351" s="259" t="s">
        <v>55</v>
      </c>
      <c r="H351" s="252"/>
      <c r="I351" s="270">
        <f>CEILING(D351*F351,10)</f>
        <v>480</v>
      </c>
      <c r="J351" s="271">
        <f t="shared" ref="J351" si="72">I351/$D$5</f>
        <v>0.08</v>
      </c>
      <c r="K351" s="272">
        <f t="shared" ref="K351:K352" si="73">I351/$D$4</f>
        <v>0.48</v>
      </c>
      <c r="L351" s="252"/>
      <c r="M351" s="252"/>
      <c r="N351" s="252"/>
    </row>
    <row r="352" spans="1:14" ht="15.6" x14ac:dyDescent="0.6">
      <c r="A352" s="252"/>
      <c r="B352" s="66"/>
      <c r="C352" s="267"/>
      <c r="D352" s="267"/>
      <c r="E352" s="268"/>
      <c r="F352" s="268"/>
      <c r="G352" s="259"/>
      <c r="H352" s="259"/>
      <c r="I352" s="265">
        <f>SUM(I342:I351)</f>
        <v>277980</v>
      </c>
      <c r="J352" s="179">
        <f>I352/$D$5</f>
        <v>46.33</v>
      </c>
      <c r="K352" s="266">
        <f t="shared" si="73"/>
        <v>277.98</v>
      </c>
      <c r="L352" s="252"/>
      <c r="M352" s="252"/>
      <c r="N352" s="252"/>
    </row>
    <row r="353" spans="1:14" ht="15.6" x14ac:dyDescent="0.6">
      <c r="A353" s="252"/>
      <c r="B353" s="260" t="s">
        <v>28</v>
      </c>
      <c r="C353" s="273"/>
      <c r="D353" s="273"/>
      <c r="E353" s="268"/>
      <c r="F353" s="268"/>
      <c r="G353" s="259"/>
      <c r="H353" s="259"/>
      <c r="I353" s="265"/>
      <c r="J353" s="265"/>
      <c r="K353" s="265"/>
      <c r="L353" s="252"/>
      <c r="M353" s="252"/>
      <c r="N353" s="252"/>
    </row>
    <row r="354" spans="1:14" ht="15.6" x14ac:dyDescent="0.6">
      <c r="A354" s="252"/>
      <c r="B354" s="274"/>
      <c r="C354" s="267" t="s">
        <v>1</v>
      </c>
      <c r="D354" s="261" t="s">
        <v>99</v>
      </c>
      <c r="E354" s="268"/>
      <c r="F354" s="268"/>
      <c r="G354" s="259"/>
      <c r="H354" s="259"/>
      <c r="I354" s="266">
        <v>0</v>
      </c>
      <c r="J354" s="179">
        <f t="shared" ref="J354:J357" si="74">I354/$D$5</f>
        <v>0</v>
      </c>
      <c r="K354" s="266">
        <f t="shared" ref="K354:K357" si="75">I354/$D$4</f>
        <v>0</v>
      </c>
      <c r="L354" s="252"/>
      <c r="M354" s="252"/>
      <c r="N354" s="252"/>
    </row>
    <row r="355" spans="1:14" ht="15.6" x14ac:dyDescent="0.6">
      <c r="A355" s="252"/>
      <c r="B355" s="274"/>
      <c r="C355" s="267" t="s">
        <v>133</v>
      </c>
      <c r="D355" s="261" t="s">
        <v>134</v>
      </c>
      <c r="E355" s="268"/>
      <c r="F355" s="268"/>
      <c r="G355" s="259"/>
      <c r="H355" s="259"/>
      <c r="I355" s="266">
        <v>0</v>
      </c>
      <c r="J355" s="179">
        <f t="shared" si="74"/>
        <v>0</v>
      </c>
      <c r="K355" s="266">
        <f t="shared" si="75"/>
        <v>0</v>
      </c>
      <c r="L355" s="252"/>
      <c r="M355" s="252"/>
      <c r="N355" s="252"/>
    </row>
    <row r="356" spans="1:14" ht="15.6" x14ac:dyDescent="0.6">
      <c r="A356" s="252"/>
      <c r="B356" s="274"/>
      <c r="C356" s="267" t="s">
        <v>2</v>
      </c>
      <c r="D356" s="261">
        <f>D$25</f>
        <v>12</v>
      </c>
      <c r="E356" s="268" t="s">
        <v>57</v>
      </c>
      <c r="F356" s="269">
        <f>F$25</f>
        <v>800</v>
      </c>
      <c r="G356" s="259" t="s">
        <v>58</v>
      </c>
      <c r="H356" s="259"/>
      <c r="I356" s="272">
        <f>CEILING(-D356*F356,10)</f>
        <v>-9600</v>
      </c>
      <c r="J356" s="271">
        <f t="shared" si="74"/>
        <v>-1.6</v>
      </c>
      <c r="K356" s="272">
        <f t="shared" si="75"/>
        <v>-9.6</v>
      </c>
      <c r="L356" s="252"/>
      <c r="M356" s="252"/>
      <c r="N356" s="252"/>
    </row>
    <row r="357" spans="1:14" ht="15.6" x14ac:dyDescent="0.6">
      <c r="A357" s="252"/>
      <c r="B357" s="66"/>
      <c r="C357" s="273"/>
      <c r="D357" s="273"/>
      <c r="E357" s="273"/>
      <c r="F357" s="273"/>
      <c r="G357" s="273"/>
      <c r="H357" s="273"/>
      <c r="I357" s="266">
        <f>SUM(I354:I356)</f>
        <v>-9600</v>
      </c>
      <c r="J357" s="179">
        <f t="shared" si="74"/>
        <v>-1.6</v>
      </c>
      <c r="K357" s="266">
        <f t="shared" si="75"/>
        <v>-9.6</v>
      </c>
      <c r="L357" s="252"/>
      <c r="M357" s="252"/>
      <c r="N357" s="252"/>
    </row>
    <row r="358" spans="1:14" ht="15.6" x14ac:dyDescent="0.6">
      <c r="A358" s="252"/>
      <c r="B358" s="275" t="s">
        <v>0</v>
      </c>
      <c r="C358" s="257"/>
      <c r="D358" s="257"/>
      <c r="E358" s="257"/>
      <c r="F358" s="257"/>
      <c r="G358" s="257"/>
      <c r="H358" s="257"/>
      <c r="I358" s="276">
        <f>I339+I352+I357</f>
        <v>611820</v>
      </c>
      <c r="J358" s="277">
        <f>J339+J352+J357</f>
        <v>101.97</v>
      </c>
      <c r="K358" s="278">
        <f>K339+K352+K357</f>
        <v>611.82000000000005</v>
      </c>
      <c r="L358" s="252"/>
      <c r="M358" s="252"/>
      <c r="N358" s="252"/>
    </row>
    <row r="359" spans="1:14" ht="15.6" x14ac:dyDescent="0.6">
      <c r="A359" s="252"/>
      <c r="B359" s="66" t="s">
        <v>23</v>
      </c>
      <c r="C359" s="259"/>
      <c r="D359" s="259"/>
      <c r="E359" s="259"/>
      <c r="F359" s="259"/>
      <c r="G359" s="259"/>
      <c r="H359" s="259"/>
      <c r="I359" s="198" t="s">
        <v>48</v>
      </c>
      <c r="J359" s="198" t="s">
        <v>49</v>
      </c>
      <c r="K359" s="198" t="s">
        <v>50</v>
      </c>
      <c r="L359" s="252"/>
      <c r="M359" s="252"/>
      <c r="N359" s="252"/>
    </row>
    <row r="360" spans="1:14" ht="15.6" x14ac:dyDescent="0.6">
      <c r="A360" s="252"/>
      <c r="B360" s="260" t="s">
        <v>3</v>
      </c>
      <c r="C360" s="259"/>
      <c r="D360" s="259"/>
      <c r="E360" s="259"/>
      <c r="F360" s="259"/>
      <c r="G360" s="259"/>
      <c r="L360" s="252"/>
      <c r="M360" s="252"/>
      <c r="N360" s="252"/>
    </row>
    <row r="361" spans="1:14" ht="15.6" x14ac:dyDescent="0.6">
      <c r="A361" s="252"/>
      <c r="B361" s="260"/>
      <c r="C361" s="259" t="s">
        <v>224</v>
      </c>
      <c r="D361" s="261">
        <f>D$15</f>
        <v>10185</v>
      </c>
      <c r="E361" s="262" t="s">
        <v>57</v>
      </c>
      <c r="F361" s="263">
        <f>F$30</f>
        <v>3.5</v>
      </c>
      <c r="G361" s="264" t="s">
        <v>204</v>
      </c>
      <c r="H361" s="259"/>
      <c r="I361" s="265">
        <f>CEILING(D361*F361,10)</f>
        <v>35650</v>
      </c>
      <c r="J361" s="179">
        <f>I361/$D$5</f>
        <v>5.9416666666666664</v>
      </c>
      <c r="K361" s="266">
        <f>I361/$D$4</f>
        <v>35.65</v>
      </c>
      <c r="L361" s="252"/>
      <c r="M361" s="252"/>
      <c r="N361" s="252"/>
    </row>
    <row r="362" spans="1:14" ht="15.6" x14ac:dyDescent="0.6">
      <c r="A362" s="252"/>
      <c r="B362" s="260"/>
      <c r="C362" s="259" t="s">
        <v>135</v>
      </c>
      <c r="D362" s="261">
        <f>D345</f>
        <v>5400</v>
      </c>
      <c r="E362" s="262" t="s">
        <v>57</v>
      </c>
      <c r="F362" s="263">
        <f>F$31</f>
        <v>3.5</v>
      </c>
      <c r="G362" s="264" t="s">
        <v>204</v>
      </c>
      <c r="H362" s="259"/>
      <c r="I362" s="265">
        <f>CEILING(D362*F362,10)</f>
        <v>18900</v>
      </c>
      <c r="J362" s="179">
        <f>I362/$D$5</f>
        <v>3.15</v>
      </c>
      <c r="K362" s="266">
        <f>I362/$D$4</f>
        <v>18.899999999999999</v>
      </c>
      <c r="L362" s="252"/>
      <c r="M362" s="252"/>
      <c r="N362" s="252"/>
    </row>
    <row r="363" spans="1:14" ht="15.6" x14ac:dyDescent="0.6">
      <c r="A363" s="252"/>
      <c r="B363" s="260" t="s">
        <v>97</v>
      </c>
      <c r="C363" s="259"/>
      <c r="D363" s="261">
        <f>D361</f>
        <v>10185</v>
      </c>
      <c r="E363" s="262" t="s">
        <v>57</v>
      </c>
      <c r="F363" s="263">
        <f>I363/D363</f>
        <v>0</v>
      </c>
      <c r="G363" s="264" t="s">
        <v>204</v>
      </c>
      <c r="H363" s="259"/>
      <c r="I363" s="265">
        <f>'Step 3'!F94</f>
        <v>0</v>
      </c>
      <c r="J363" s="179">
        <f t="shared" ref="J363:J367" si="76">I363/$D$5</f>
        <v>0</v>
      </c>
      <c r="K363" s="266">
        <f t="shared" ref="K363:K367" si="77">I363/$D$4</f>
        <v>0</v>
      </c>
      <c r="L363" s="252"/>
      <c r="M363" s="252"/>
      <c r="N363" s="252"/>
    </row>
    <row r="364" spans="1:14" ht="15.6" x14ac:dyDescent="0.6">
      <c r="A364" s="252"/>
      <c r="B364" s="260" t="s">
        <v>24</v>
      </c>
      <c r="C364" s="259"/>
      <c r="D364" s="261">
        <f>D361</f>
        <v>10185</v>
      </c>
      <c r="E364" s="262" t="str">
        <f>E361</f>
        <v>hd @</v>
      </c>
      <c r="F364" s="263">
        <f>F$33</f>
        <v>6.5</v>
      </c>
      <c r="G364" s="264" t="s">
        <v>204</v>
      </c>
      <c r="H364" s="259"/>
      <c r="I364" s="265">
        <f>CEILING(D364*F364,10)</f>
        <v>66210</v>
      </c>
      <c r="J364" s="179">
        <f t="shared" si="76"/>
        <v>11.035</v>
      </c>
      <c r="K364" s="266">
        <f t="shared" si="77"/>
        <v>66.209999999999994</v>
      </c>
      <c r="L364" s="252"/>
      <c r="M364" s="252"/>
      <c r="N364" s="252"/>
    </row>
    <row r="365" spans="1:14" ht="15.6" x14ac:dyDescent="0.6">
      <c r="A365" s="252"/>
      <c r="B365" s="260" t="s">
        <v>25</v>
      </c>
      <c r="C365" s="259"/>
      <c r="D365" s="279">
        <f>D339*F339/170</f>
        <v>224.47058823529412</v>
      </c>
      <c r="E365" s="262" t="s">
        <v>59</v>
      </c>
      <c r="F365" s="263">
        <f>F$34</f>
        <v>20</v>
      </c>
      <c r="G365" s="264" t="s">
        <v>60</v>
      </c>
      <c r="H365" s="259"/>
      <c r="I365" s="265">
        <f>CEILING(D365*F365,10)</f>
        <v>4490</v>
      </c>
      <c r="J365" s="179">
        <f t="shared" si="76"/>
        <v>0.74833333333333329</v>
      </c>
      <c r="K365" s="266">
        <f t="shared" si="77"/>
        <v>4.49</v>
      </c>
      <c r="L365" s="252"/>
      <c r="M365" s="252"/>
      <c r="N365" s="252"/>
    </row>
    <row r="366" spans="1:14" ht="15.6" x14ac:dyDescent="0.6">
      <c r="A366" s="252"/>
      <c r="B366" s="260" t="s">
        <v>26</v>
      </c>
      <c r="C366" s="259"/>
      <c r="D366" s="259"/>
      <c r="E366" s="259"/>
      <c r="F366" s="263">
        <f>F$35</f>
        <v>15</v>
      </c>
      <c r="G366" s="264" t="s">
        <v>60</v>
      </c>
      <c r="H366" s="259"/>
      <c r="I366" s="265">
        <f>CEILING(D365*F366,10)</f>
        <v>3370</v>
      </c>
      <c r="J366" s="179">
        <f t="shared" si="76"/>
        <v>0.56166666666666665</v>
      </c>
      <c r="K366" s="266">
        <f t="shared" si="77"/>
        <v>3.37</v>
      </c>
      <c r="L366" s="252"/>
      <c r="M366" s="252"/>
      <c r="N366" s="252"/>
    </row>
    <row r="367" spans="1:14" ht="15.6" x14ac:dyDescent="0.6">
      <c r="A367" s="252"/>
      <c r="B367" s="260" t="s">
        <v>27</v>
      </c>
      <c r="C367" s="259"/>
      <c r="D367" s="261">
        <f>D342+D343+D350+D351+D356</f>
        <v>5074</v>
      </c>
      <c r="E367" s="268" t="s">
        <v>57</v>
      </c>
      <c r="F367" s="263">
        <f>F$36</f>
        <v>2</v>
      </c>
      <c r="G367" s="264" t="s">
        <v>61</v>
      </c>
      <c r="H367" s="259"/>
      <c r="I367" s="265">
        <f>CEILING(D367*F367,10)</f>
        <v>10150</v>
      </c>
      <c r="J367" s="179">
        <f t="shared" si="76"/>
        <v>1.6916666666666667</v>
      </c>
      <c r="K367" s="266">
        <f t="shared" si="77"/>
        <v>10.15</v>
      </c>
      <c r="L367" s="252"/>
      <c r="M367" s="252"/>
      <c r="N367" s="252"/>
    </row>
    <row r="368" spans="1:14" ht="15.6" x14ac:dyDescent="0.6">
      <c r="A368" s="252"/>
      <c r="B368" s="275" t="s">
        <v>41</v>
      </c>
      <c r="C368" s="257"/>
      <c r="D368" s="257"/>
      <c r="E368" s="280"/>
      <c r="F368" s="257"/>
      <c r="G368" s="257"/>
      <c r="H368" s="257"/>
      <c r="I368" s="276">
        <f>SUM(I361:I367)</f>
        <v>138770</v>
      </c>
      <c r="J368" s="277">
        <f>SUM(J361:J367)</f>
        <v>23.128333333333334</v>
      </c>
      <c r="K368" s="278">
        <f>SUM(K361:K367)</f>
        <v>138.76999999999998</v>
      </c>
      <c r="L368" s="252"/>
      <c r="M368" s="252"/>
      <c r="N368" s="252"/>
    </row>
    <row r="369" spans="1:14" ht="15.6" x14ac:dyDescent="0.6">
      <c r="A369" s="252"/>
      <c r="B369" s="281" t="s">
        <v>62</v>
      </c>
      <c r="C369" s="257"/>
      <c r="D369" s="257"/>
      <c r="E369" s="280"/>
      <c r="F369" s="257"/>
      <c r="G369" s="257"/>
      <c r="H369" s="257"/>
      <c r="I369" s="276">
        <f>I358-I368</f>
        <v>473050</v>
      </c>
      <c r="J369" s="277">
        <f>J358-J368</f>
        <v>78.841666666666669</v>
      </c>
      <c r="K369" s="278">
        <f>K358-K368</f>
        <v>473.05000000000007</v>
      </c>
      <c r="L369" s="252"/>
      <c r="M369" s="252"/>
      <c r="N369" s="252"/>
    </row>
    <row r="370" spans="1:14" ht="15.6" x14ac:dyDescent="0.6">
      <c r="A370" s="252"/>
      <c r="B370" s="282"/>
      <c r="C370" s="255"/>
      <c r="D370" s="255"/>
      <c r="E370" s="255"/>
      <c r="F370" s="255"/>
      <c r="G370" s="255"/>
      <c r="H370" s="255"/>
      <c r="I370" s="255"/>
      <c r="J370" s="255"/>
      <c r="K370" s="255"/>
      <c r="L370" s="252"/>
      <c r="M370" s="252"/>
      <c r="N370" s="252"/>
    </row>
    <row r="371" spans="1:14" ht="18.3" x14ac:dyDescent="0.7">
      <c r="A371" s="252"/>
      <c r="B371" s="253" t="s">
        <v>254</v>
      </c>
      <c r="C371" s="252"/>
      <c r="D371" s="252"/>
      <c r="E371" s="252"/>
      <c r="F371" s="252"/>
      <c r="G371" s="252"/>
      <c r="H371" s="252"/>
      <c r="I371" s="252"/>
      <c r="J371" s="252"/>
      <c r="K371" s="252"/>
      <c r="L371" s="252"/>
      <c r="M371" s="252"/>
      <c r="N371" s="252"/>
    </row>
    <row r="372" spans="1:14" ht="17.7" x14ac:dyDescent="0.6">
      <c r="A372" s="252"/>
      <c r="B372" s="256"/>
      <c r="C372" s="257"/>
      <c r="D372" s="257"/>
      <c r="E372" s="257"/>
      <c r="F372" s="257"/>
      <c r="G372" s="257"/>
      <c r="H372" s="257"/>
      <c r="I372" s="258" t="s">
        <v>46</v>
      </c>
      <c r="J372" s="258" t="s">
        <v>78</v>
      </c>
      <c r="K372" s="258" t="s">
        <v>87</v>
      </c>
      <c r="L372" s="252"/>
      <c r="M372" s="252"/>
      <c r="N372" s="252"/>
    </row>
    <row r="373" spans="1:14" ht="15.6" x14ac:dyDescent="0.6">
      <c r="A373" s="252"/>
      <c r="B373" s="66" t="s">
        <v>18</v>
      </c>
      <c r="C373" s="259"/>
      <c r="D373" s="259"/>
      <c r="E373" s="259"/>
      <c r="F373" s="259"/>
      <c r="G373" s="259"/>
      <c r="H373" s="259"/>
      <c r="I373" s="198" t="s">
        <v>48</v>
      </c>
      <c r="J373" s="198" t="s">
        <v>49</v>
      </c>
      <c r="K373" s="198" t="s">
        <v>50</v>
      </c>
      <c r="L373" s="252"/>
      <c r="M373" s="252"/>
      <c r="N373" s="252"/>
    </row>
    <row r="374" spans="1:14" ht="15.6" x14ac:dyDescent="0.6">
      <c r="A374" s="252"/>
      <c r="B374" s="260" t="s">
        <v>4</v>
      </c>
      <c r="C374" s="259"/>
      <c r="D374" s="261">
        <f>$D$11</f>
        <v>6000</v>
      </c>
      <c r="E374" s="288" t="s">
        <v>212</v>
      </c>
      <c r="F374" s="325">
        <f>K52</f>
        <v>6.36</v>
      </c>
      <c r="G374" s="263">
        <f>L52</f>
        <v>9</v>
      </c>
      <c r="H374" s="264" t="s">
        <v>47</v>
      </c>
      <c r="I374" s="265">
        <f>CEILING(D374*F374*G374,10)</f>
        <v>343440</v>
      </c>
      <c r="J374" s="179">
        <f>I374/$D$5</f>
        <v>57.24</v>
      </c>
      <c r="K374" s="266">
        <f>I374/$D$4</f>
        <v>343.44</v>
      </c>
      <c r="L374" s="252"/>
      <c r="M374" s="252"/>
      <c r="N374" s="252"/>
    </row>
    <row r="375" spans="1:14" ht="15.6" x14ac:dyDescent="0.6">
      <c r="A375" s="252"/>
      <c r="B375" s="260"/>
      <c r="C375" s="259"/>
      <c r="D375" s="261"/>
      <c r="E375" s="314" t="s">
        <v>214</v>
      </c>
      <c r="F375" s="289"/>
      <c r="G375" s="263"/>
      <c r="H375" s="264"/>
      <c r="I375" s="265"/>
      <c r="J375" s="179"/>
      <c r="K375" s="266"/>
      <c r="L375" s="252"/>
      <c r="M375" s="252"/>
      <c r="N375" s="252"/>
    </row>
    <row r="376" spans="1:14" ht="15.6" x14ac:dyDescent="0.6">
      <c r="A376" s="252"/>
      <c r="B376" s="260" t="s">
        <v>22</v>
      </c>
      <c r="C376" s="259"/>
      <c r="D376" s="261"/>
      <c r="E376" s="327" t="s">
        <v>225</v>
      </c>
      <c r="F376" s="259"/>
      <c r="G376" s="259"/>
      <c r="H376" s="259"/>
      <c r="I376" s="265"/>
      <c r="J376" s="265"/>
      <c r="K376" s="265"/>
      <c r="L376" s="252"/>
      <c r="M376" s="252"/>
      <c r="N376" s="252"/>
    </row>
    <row r="377" spans="1:14" ht="15.6" x14ac:dyDescent="0.6">
      <c r="A377" s="252"/>
      <c r="B377" s="66"/>
      <c r="C377" s="267" t="s">
        <v>19</v>
      </c>
      <c r="D377" s="261">
        <f>D$17+D$11*'Step 3'!F148</f>
        <v>900</v>
      </c>
      <c r="E377" s="328">
        <f>-(D$17-D377)/D$17</f>
        <v>0</v>
      </c>
      <c r="F377" s="346">
        <f>G52</f>
        <v>40</v>
      </c>
      <c r="G377" s="259" t="s">
        <v>55</v>
      </c>
      <c r="H377" s="252"/>
      <c r="I377" s="265">
        <f>CEILING(D377*F377,10)</f>
        <v>36000</v>
      </c>
      <c r="J377" s="179">
        <f t="shared" ref="J377:J378" si="78">I377/$D$5</f>
        <v>6</v>
      </c>
      <c r="K377" s="266">
        <f t="shared" ref="K377:K378" si="79">I377/$D$4</f>
        <v>36</v>
      </c>
      <c r="L377" s="252"/>
      <c r="M377" s="252"/>
      <c r="N377" s="252"/>
    </row>
    <row r="378" spans="1:14" ht="15.6" x14ac:dyDescent="0.6">
      <c r="A378" s="252"/>
      <c r="B378" s="66"/>
      <c r="C378" s="267" t="s">
        <v>215</v>
      </c>
      <c r="D378" s="261">
        <f>D$18+D$12*'Step 3'!F148</f>
        <v>375</v>
      </c>
      <c r="E378" s="328">
        <f>-(D$18-D378)/D$18</f>
        <v>0</v>
      </c>
      <c r="F378" s="346">
        <f>H52</f>
        <v>40</v>
      </c>
      <c r="G378" s="259" t="s">
        <v>55</v>
      </c>
      <c r="H378" s="252"/>
      <c r="I378" s="265">
        <f>CEILING(D378*F378,10)</f>
        <v>15000</v>
      </c>
      <c r="J378" s="179">
        <f t="shared" si="78"/>
        <v>2.5</v>
      </c>
      <c r="K378" s="266">
        <f t="shared" si="79"/>
        <v>15</v>
      </c>
      <c r="L378" s="252"/>
      <c r="M378" s="252"/>
      <c r="N378" s="252"/>
    </row>
    <row r="379" spans="1:14" ht="15.6" x14ac:dyDescent="0.6">
      <c r="A379" s="252"/>
      <c r="B379" s="66"/>
      <c r="C379" s="267" t="s">
        <v>20</v>
      </c>
      <c r="D379" s="261"/>
      <c r="E379" s="326"/>
      <c r="F379" s="326"/>
      <c r="G379" s="326"/>
      <c r="I379" s="127"/>
      <c r="J379" s="127"/>
      <c r="K379" s="127"/>
      <c r="L379" s="252"/>
      <c r="M379" s="252"/>
      <c r="N379" s="252"/>
    </row>
    <row r="380" spans="1:14" ht="15.6" x14ac:dyDescent="0.6">
      <c r="A380" s="252"/>
      <c r="B380" s="66"/>
      <c r="C380" s="273" t="s">
        <v>216</v>
      </c>
      <c r="D380" s="261">
        <f>D$59*D52</f>
        <v>5400</v>
      </c>
      <c r="E380" s="326"/>
      <c r="F380" s="269"/>
      <c r="G380" s="259"/>
      <c r="H380" s="252"/>
      <c r="I380" s="265"/>
      <c r="J380" s="179"/>
      <c r="K380" s="266"/>
      <c r="L380" s="252"/>
      <c r="M380" s="252"/>
      <c r="N380" s="252"/>
    </row>
    <row r="381" spans="1:14" ht="15.6" x14ac:dyDescent="0.6">
      <c r="A381" s="252"/>
      <c r="B381" s="66"/>
      <c r="C381" s="273" t="s">
        <v>98</v>
      </c>
      <c r="D381" s="261">
        <f>-D$11*E52</f>
        <v>-300</v>
      </c>
      <c r="E381" s="326"/>
      <c r="F381" s="269"/>
      <c r="G381" s="259"/>
      <c r="H381" s="252"/>
      <c r="I381" s="265"/>
      <c r="J381" s="179"/>
      <c r="K381" s="266"/>
      <c r="L381" s="252"/>
      <c r="M381" s="252"/>
      <c r="N381" s="252"/>
    </row>
    <row r="382" spans="1:14" ht="15.6" x14ac:dyDescent="0.6">
      <c r="A382" s="252"/>
      <c r="B382" s="66"/>
      <c r="C382" s="273" t="s">
        <v>222</v>
      </c>
      <c r="D382" s="261">
        <f>-D377</f>
        <v>-900</v>
      </c>
      <c r="E382" s="326"/>
      <c r="F382" s="269"/>
      <c r="G382" s="259"/>
      <c r="H382" s="252"/>
      <c r="I382" s="265"/>
      <c r="J382" s="179"/>
      <c r="K382" s="266"/>
      <c r="L382" s="252"/>
      <c r="M382" s="252"/>
      <c r="N382" s="252"/>
    </row>
    <row r="383" spans="1:14" ht="15.6" x14ac:dyDescent="0.6">
      <c r="A383" s="252"/>
      <c r="B383" s="66"/>
      <c r="C383" s="273" t="s">
        <v>210</v>
      </c>
      <c r="D383" s="261">
        <f>-D$12*F52</f>
        <v>-50</v>
      </c>
      <c r="E383" s="326"/>
      <c r="F383" s="269"/>
      <c r="G383" s="259"/>
      <c r="H383" s="252"/>
      <c r="I383" s="265"/>
      <c r="J383" s="179"/>
      <c r="K383" s="266"/>
      <c r="L383" s="252"/>
      <c r="M383" s="252"/>
      <c r="N383" s="252"/>
    </row>
    <row r="384" spans="1:14" ht="15.6" x14ac:dyDescent="0.6">
      <c r="A384" s="252"/>
      <c r="B384" s="66"/>
      <c r="C384" s="273" t="s">
        <v>217</v>
      </c>
      <c r="D384" s="285">
        <f>-D378</f>
        <v>-375</v>
      </c>
      <c r="E384" s="326"/>
      <c r="F384" s="269"/>
      <c r="G384" s="259"/>
      <c r="H384" s="252"/>
      <c r="I384" s="265"/>
      <c r="J384" s="179"/>
      <c r="K384" s="266"/>
      <c r="L384" s="252"/>
      <c r="M384" s="252"/>
      <c r="N384" s="252"/>
    </row>
    <row r="385" spans="1:14" ht="15.6" x14ac:dyDescent="0.6">
      <c r="A385" s="252"/>
      <c r="B385" s="66"/>
      <c r="C385" s="267"/>
      <c r="D385" s="261">
        <f>SUM(D380:D384)</f>
        <v>3775</v>
      </c>
      <c r="E385" s="329">
        <f>-(D$19-D385)/D$19</f>
        <v>0</v>
      </c>
      <c r="F385" s="263">
        <f>I52</f>
        <v>60</v>
      </c>
      <c r="G385" s="259" t="s">
        <v>55</v>
      </c>
      <c r="H385" s="252"/>
      <c r="I385" s="265">
        <f>D385*F385</f>
        <v>226500</v>
      </c>
      <c r="J385" s="179">
        <f>I385/$D$5</f>
        <v>37.75</v>
      </c>
      <c r="K385" s="266">
        <f>I385/$D$4</f>
        <v>226.5</v>
      </c>
      <c r="L385" s="252"/>
      <c r="M385" s="252"/>
      <c r="N385" s="252"/>
    </row>
    <row r="386" spans="1:14" ht="15.6" x14ac:dyDescent="0.6">
      <c r="A386" s="252"/>
      <c r="B386" s="66"/>
      <c r="C386" s="267" t="s">
        <v>21</v>
      </c>
      <c r="D386" s="261">
        <f>D$25</f>
        <v>12</v>
      </c>
      <c r="E386" s="268" t="s">
        <v>57</v>
      </c>
      <c r="F386" s="263">
        <f>J52</f>
        <v>40</v>
      </c>
      <c r="G386" s="259" t="s">
        <v>55</v>
      </c>
      <c r="H386" s="252"/>
      <c r="I386" s="270">
        <f>CEILING(D386*F386,10)</f>
        <v>480</v>
      </c>
      <c r="J386" s="271">
        <f t="shared" ref="J386" si="80">I386/$D$5</f>
        <v>0.08</v>
      </c>
      <c r="K386" s="272">
        <f t="shared" ref="K386:K387" si="81">I386/$D$4</f>
        <v>0.48</v>
      </c>
      <c r="L386" s="252"/>
      <c r="M386" s="252"/>
      <c r="N386" s="252"/>
    </row>
    <row r="387" spans="1:14" ht="15.6" x14ac:dyDescent="0.6">
      <c r="A387" s="252"/>
      <c r="B387" s="66"/>
      <c r="C387" s="267"/>
      <c r="D387" s="267"/>
      <c r="E387" s="268"/>
      <c r="F387" s="268"/>
      <c r="G387" s="259"/>
      <c r="H387" s="259"/>
      <c r="I387" s="265">
        <f>SUM(I377:I386)</f>
        <v>277980</v>
      </c>
      <c r="J387" s="179">
        <f>I387/$D$5</f>
        <v>46.33</v>
      </c>
      <c r="K387" s="266">
        <f t="shared" si="81"/>
        <v>277.98</v>
      </c>
      <c r="L387" s="252"/>
      <c r="M387" s="252"/>
      <c r="N387" s="252"/>
    </row>
    <row r="388" spans="1:14" ht="15.6" x14ac:dyDescent="0.6">
      <c r="A388" s="252"/>
      <c r="B388" s="260" t="s">
        <v>28</v>
      </c>
      <c r="C388" s="273"/>
      <c r="D388" s="273"/>
      <c r="E388" s="268"/>
      <c r="F388" s="268"/>
      <c r="G388" s="259"/>
      <c r="H388" s="259"/>
      <c r="I388" s="265"/>
      <c r="J388" s="265"/>
      <c r="K388" s="265"/>
      <c r="L388" s="252"/>
      <c r="M388" s="252"/>
      <c r="N388" s="252"/>
    </row>
    <row r="389" spans="1:14" ht="15.6" x14ac:dyDescent="0.6">
      <c r="A389" s="252"/>
      <c r="B389" s="274"/>
      <c r="C389" s="267" t="s">
        <v>1</v>
      </c>
      <c r="D389" s="261" t="s">
        <v>99</v>
      </c>
      <c r="E389" s="268"/>
      <c r="F389" s="268"/>
      <c r="G389" s="259"/>
      <c r="H389" s="259"/>
      <c r="I389" s="266">
        <v>0</v>
      </c>
      <c r="J389" s="179">
        <f t="shared" ref="J389:J392" si="82">I389/$D$5</f>
        <v>0</v>
      </c>
      <c r="K389" s="266">
        <f t="shared" ref="K389:K392" si="83">I389/$D$4</f>
        <v>0</v>
      </c>
      <c r="L389" s="252"/>
      <c r="M389" s="252"/>
      <c r="N389" s="252"/>
    </row>
    <row r="390" spans="1:14" ht="15.6" x14ac:dyDescent="0.6">
      <c r="A390" s="252"/>
      <c r="B390" s="274"/>
      <c r="C390" s="267" t="s">
        <v>133</v>
      </c>
      <c r="D390" s="261" t="s">
        <v>134</v>
      </c>
      <c r="E390" s="268"/>
      <c r="F390" s="268"/>
      <c r="G390" s="259"/>
      <c r="H390" s="259"/>
      <c r="I390" s="266">
        <v>0</v>
      </c>
      <c r="J390" s="179">
        <f t="shared" si="82"/>
        <v>0</v>
      </c>
      <c r="K390" s="266">
        <f t="shared" si="83"/>
        <v>0</v>
      </c>
      <c r="L390" s="252"/>
      <c r="M390" s="252"/>
      <c r="N390" s="252"/>
    </row>
    <row r="391" spans="1:14" ht="15.6" x14ac:dyDescent="0.6">
      <c r="A391" s="252"/>
      <c r="B391" s="274"/>
      <c r="C391" s="267" t="s">
        <v>2</v>
      </c>
      <c r="D391" s="261">
        <f>D$25</f>
        <v>12</v>
      </c>
      <c r="E391" s="268" t="s">
        <v>57</v>
      </c>
      <c r="F391" s="269">
        <f>F$25</f>
        <v>800</v>
      </c>
      <c r="G391" s="259" t="s">
        <v>58</v>
      </c>
      <c r="H391" s="259"/>
      <c r="I391" s="272">
        <f>CEILING(-D391*F391,10)</f>
        <v>-9600</v>
      </c>
      <c r="J391" s="271">
        <f t="shared" si="82"/>
        <v>-1.6</v>
      </c>
      <c r="K391" s="272">
        <f t="shared" si="83"/>
        <v>-9.6</v>
      </c>
      <c r="L391" s="252"/>
      <c r="M391" s="252"/>
      <c r="N391" s="252"/>
    </row>
    <row r="392" spans="1:14" ht="15.6" x14ac:dyDescent="0.6">
      <c r="A392" s="252"/>
      <c r="B392" s="66"/>
      <c r="C392" s="273"/>
      <c r="D392" s="273"/>
      <c r="E392" s="273"/>
      <c r="F392" s="273"/>
      <c r="G392" s="273"/>
      <c r="H392" s="273"/>
      <c r="I392" s="266">
        <f>SUM(I389:I391)</f>
        <v>-9600</v>
      </c>
      <c r="J392" s="179">
        <f t="shared" si="82"/>
        <v>-1.6</v>
      </c>
      <c r="K392" s="266">
        <f t="shared" si="83"/>
        <v>-9.6</v>
      </c>
      <c r="L392" s="252"/>
      <c r="M392" s="252"/>
      <c r="N392" s="252"/>
    </row>
    <row r="393" spans="1:14" ht="15.6" x14ac:dyDescent="0.6">
      <c r="A393" s="252"/>
      <c r="B393" s="275" t="s">
        <v>0</v>
      </c>
      <c r="C393" s="257"/>
      <c r="D393" s="257"/>
      <c r="E393" s="257"/>
      <c r="F393" s="257"/>
      <c r="G393" s="257"/>
      <c r="H393" s="257"/>
      <c r="I393" s="276">
        <f>I374+I387+I392</f>
        <v>611820</v>
      </c>
      <c r="J393" s="277">
        <f>J374+J387+J392</f>
        <v>101.97</v>
      </c>
      <c r="K393" s="278">
        <f>K374+K387+K392</f>
        <v>611.82000000000005</v>
      </c>
      <c r="L393" s="252"/>
      <c r="M393" s="252"/>
      <c r="N393" s="252"/>
    </row>
    <row r="394" spans="1:14" ht="15.6" x14ac:dyDescent="0.6">
      <c r="A394" s="252"/>
      <c r="B394" s="66" t="s">
        <v>23</v>
      </c>
      <c r="C394" s="259"/>
      <c r="D394" s="259"/>
      <c r="E394" s="259"/>
      <c r="F394" s="259"/>
      <c r="G394" s="259"/>
      <c r="H394" s="259"/>
      <c r="I394" s="198" t="s">
        <v>48</v>
      </c>
      <c r="J394" s="198" t="s">
        <v>49</v>
      </c>
      <c r="K394" s="198" t="s">
        <v>50</v>
      </c>
      <c r="L394" s="252"/>
      <c r="M394" s="252"/>
      <c r="N394" s="252"/>
    </row>
    <row r="395" spans="1:14" ht="15.6" x14ac:dyDescent="0.6">
      <c r="A395" s="252"/>
      <c r="B395" s="260" t="s">
        <v>3</v>
      </c>
      <c r="C395" s="259"/>
      <c r="D395" s="259"/>
      <c r="E395" s="259"/>
      <c r="F395" s="259"/>
      <c r="G395" s="259"/>
      <c r="L395" s="252"/>
      <c r="M395" s="252"/>
      <c r="N395" s="252"/>
    </row>
    <row r="396" spans="1:14" ht="15.6" x14ac:dyDescent="0.6">
      <c r="A396" s="252"/>
      <c r="B396" s="260"/>
      <c r="C396" s="259" t="s">
        <v>224</v>
      </c>
      <c r="D396" s="261">
        <f>D$15</f>
        <v>10185</v>
      </c>
      <c r="E396" s="262" t="s">
        <v>57</v>
      </c>
      <c r="F396" s="263">
        <f>F$30</f>
        <v>3.5</v>
      </c>
      <c r="G396" s="264" t="s">
        <v>204</v>
      </c>
      <c r="H396" s="259"/>
      <c r="I396" s="265">
        <f>CEILING(D396*F396,10)</f>
        <v>35650</v>
      </c>
      <c r="J396" s="179">
        <f>I396/$D$5</f>
        <v>5.9416666666666664</v>
      </c>
      <c r="K396" s="266">
        <f>I396/$D$4</f>
        <v>35.65</v>
      </c>
      <c r="L396" s="252"/>
      <c r="M396" s="252"/>
      <c r="N396" s="252"/>
    </row>
    <row r="397" spans="1:14" ht="15.6" x14ac:dyDescent="0.6">
      <c r="A397" s="252"/>
      <c r="B397" s="260"/>
      <c r="C397" s="259" t="s">
        <v>135</v>
      </c>
      <c r="D397" s="261">
        <f>D380</f>
        <v>5400</v>
      </c>
      <c r="E397" s="262" t="s">
        <v>57</v>
      </c>
      <c r="F397" s="263">
        <f>F$31</f>
        <v>3.5</v>
      </c>
      <c r="G397" s="264" t="s">
        <v>204</v>
      </c>
      <c r="H397" s="259"/>
      <c r="I397" s="265">
        <f>CEILING(D397*F397,10)</f>
        <v>18900</v>
      </c>
      <c r="J397" s="179">
        <f>I397/$D$5</f>
        <v>3.15</v>
      </c>
      <c r="K397" s="266">
        <f>I397/$D$4</f>
        <v>18.899999999999999</v>
      </c>
      <c r="L397" s="252"/>
      <c r="M397" s="252"/>
      <c r="N397" s="252"/>
    </row>
    <row r="398" spans="1:14" ht="15.6" x14ac:dyDescent="0.6">
      <c r="A398" s="252"/>
      <c r="B398" s="260" t="s">
        <v>97</v>
      </c>
      <c r="C398" s="259"/>
      <c r="D398" s="261">
        <f>D396</f>
        <v>10185</v>
      </c>
      <c r="E398" s="262" t="s">
        <v>57</v>
      </c>
      <c r="F398" s="263">
        <f>I398/D398</f>
        <v>0</v>
      </c>
      <c r="G398" s="264" t="s">
        <v>204</v>
      </c>
      <c r="H398" s="259"/>
      <c r="I398" s="265">
        <f>'Step 3'!F95</f>
        <v>0</v>
      </c>
      <c r="J398" s="179">
        <f t="shared" ref="J398:J402" si="84">I398/$D$5</f>
        <v>0</v>
      </c>
      <c r="K398" s="266">
        <f t="shared" ref="K398:K402" si="85">I398/$D$4</f>
        <v>0</v>
      </c>
      <c r="L398" s="252"/>
      <c r="M398" s="252"/>
      <c r="N398" s="252"/>
    </row>
    <row r="399" spans="1:14" ht="15.6" x14ac:dyDescent="0.6">
      <c r="B399" s="260" t="s">
        <v>24</v>
      </c>
      <c r="C399" s="259"/>
      <c r="D399" s="261">
        <f>D396</f>
        <v>10185</v>
      </c>
      <c r="E399" s="262" t="str">
        <f>E396</f>
        <v>hd @</v>
      </c>
      <c r="F399" s="263">
        <f>F$33</f>
        <v>6.5</v>
      </c>
      <c r="G399" s="264" t="s">
        <v>204</v>
      </c>
      <c r="H399" s="259"/>
      <c r="I399" s="265">
        <f>CEILING(D399*F399,10)</f>
        <v>66210</v>
      </c>
      <c r="J399" s="179">
        <f t="shared" si="84"/>
        <v>11.035</v>
      </c>
      <c r="K399" s="266">
        <f t="shared" si="85"/>
        <v>66.209999999999994</v>
      </c>
    </row>
    <row r="400" spans="1:14" ht="15.6" x14ac:dyDescent="0.6">
      <c r="B400" s="260" t="s">
        <v>25</v>
      </c>
      <c r="C400" s="259"/>
      <c r="D400" s="279">
        <f>D374*F374/170</f>
        <v>224.47058823529412</v>
      </c>
      <c r="E400" s="262" t="s">
        <v>59</v>
      </c>
      <c r="F400" s="263">
        <f>F$34</f>
        <v>20</v>
      </c>
      <c r="G400" s="264" t="s">
        <v>60</v>
      </c>
      <c r="H400" s="259"/>
      <c r="I400" s="265">
        <f>CEILING(D400*F400,10)</f>
        <v>4490</v>
      </c>
      <c r="J400" s="179">
        <f t="shared" si="84"/>
        <v>0.74833333333333329</v>
      </c>
      <c r="K400" s="266">
        <f t="shared" si="85"/>
        <v>4.49</v>
      </c>
    </row>
    <row r="401" spans="2:11" ht="15.6" x14ac:dyDescent="0.6">
      <c r="B401" s="260" t="s">
        <v>26</v>
      </c>
      <c r="C401" s="259"/>
      <c r="D401" s="259"/>
      <c r="E401" s="259"/>
      <c r="F401" s="263">
        <f>F$35</f>
        <v>15</v>
      </c>
      <c r="G401" s="264" t="s">
        <v>60</v>
      </c>
      <c r="H401" s="259"/>
      <c r="I401" s="265">
        <f>CEILING(D400*F401,10)</f>
        <v>3370</v>
      </c>
      <c r="J401" s="179">
        <f t="shared" si="84"/>
        <v>0.56166666666666665</v>
      </c>
      <c r="K401" s="266">
        <f t="shared" si="85"/>
        <v>3.37</v>
      </c>
    </row>
    <row r="402" spans="2:11" ht="15.6" x14ac:dyDescent="0.6">
      <c r="B402" s="260" t="s">
        <v>27</v>
      </c>
      <c r="C402" s="259"/>
      <c r="D402" s="261">
        <f>D377+D378+D385+D386+D391</f>
        <v>5074</v>
      </c>
      <c r="E402" s="268" t="s">
        <v>57</v>
      </c>
      <c r="F402" s="263">
        <f>F$36</f>
        <v>2</v>
      </c>
      <c r="G402" s="264" t="s">
        <v>61</v>
      </c>
      <c r="H402" s="259"/>
      <c r="I402" s="265">
        <f>CEILING(D402*F402,10)</f>
        <v>10150</v>
      </c>
      <c r="J402" s="179">
        <f t="shared" si="84"/>
        <v>1.6916666666666667</v>
      </c>
      <c r="K402" s="266">
        <f t="shared" si="85"/>
        <v>10.15</v>
      </c>
    </row>
    <row r="403" spans="2:11" ht="15.6" x14ac:dyDescent="0.6">
      <c r="B403" s="275" t="s">
        <v>41</v>
      </c>
      <c r="C403" s="257"/>
      <c r="D403" s="257"/>
      <c r="E403" s="280"/>
      <c r="F403" s="257"/>
      <c r="G403" s="257"/>
      <c r="H403" s="257"/>
      <c r="I403" s="276">
        <f>SUM(I396:I402)</f>
        <v>138770</v>
      </c>
      <c r="J403" s="277">
        <f>SUM(J396:J402)</f>
        <v>23.128333333333334</v>
      </c>
      <c r="K403" s="278">
        <f>SUM(K396:K402)</f>
        <v>138.76999999999998</v>
      </c>
    </row>
    <row r="404" spans="2:11" ht="15.6" x14ac:dyDescent="0.6">
      <c r="B404" s="281" t="s">
        <v>62</v>
      </c>
      <c r="C404" s="257"/>
      <c r="D404" s="257"/>
      <c r="E404" s="280"/>
      <c r="F404" s="257"/>
      <c r="G404" s="257"/>
      <c r="H404" s="257"/>
      <c r="I404" s="276">
        <f>I393-I403</f>
        <v>473050</v>
      </c>
      <c r="J404" s="277">
        <f>J393-J403</f>
        <v>78.841666666666669</v>
      </c>
      <c r="K404" s="278">
        <f>K393-K403</f>
        <v>473.05000000000007</v>
      </c>
    </row>
    <row r="405" spans="2:11" ht="15.6" x14ac:dyDescent="0.6">
      <c r="B405" s="282"/>
      <c r="C405" s="255"/>
      <c r="D405" s="255"/>
      <c r="E405" s="255"/>
      <c r="F405" s="255"/>
      <c r="G405" s="255"/>
      <c r="H405" s="255"/>
      <c r="I405" s="255"/>
      <c r="J405" s="255"/>
      <c r="K405" s="2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5"/>
  <sheetViews>
    <sheetView workbookViewId="0">
      <selection activeCell="D379" sqref="D379"/>
    </sheetView>
  </sheetViews>
  <sheetFormatPr defaultRowHeight="12.6" x14ac:dyDescent="0.45"/>
  <cols>
    <col min="1" max="1" width="2.17578125" customWidth="1"/>
    <col min="2" max="2" width="8.29296875" customWidth="1"/>
    <col min="3" max="3" width="23.46875" customWidth="1"/>
    <col min="4" max="4" width="10.703125" customWidth="1"/>
    <col min="5" max="5" width="12.17578125" customWidth="1"/>
    <col min="6" max="6" width="14.8203125" customWidth="1"/>
    <col min="7" max="7" width="11.703125" customWidth="1"/>
    <col min="8" max="8" width="11.29296875" customWidth="1"/>
    <col min="9" max="9" width="11.703125" customWidth="1"/>
    <col min="10" max="10" width="10.703125" customWidth="1"/>
    <col min="11" max="11" width="11.29296875" customWidth="1"/>
    <col min="12" max="12" width="9.703125" customWidth="1"/>
    <col min="13" max="13" width="11.29296875" customWidth="1"/>
    <col min="14" max="14" width="23.703125" customWidth="1"/>
    <col min="15" max="15" width="7.703125" customWidth="1"/>
    <col min="16" max="16" width="9.46875" customWidth="1"/>
    <col min="17" max="17" width="13.703125" customWidth="1"/>
    <col min="18" max="18" width="11.703125" customWidth="1"/>
    <col min="19" max="19" width="8.703125" customWidth="1"/>
    <col min="20" max="20" width="11.703125" customWidth="1"/>
    <col min="21" max="21" width="10.703125" customWidth="1"/>
    <col min="22" max="22" width="11.29296875" customWidth="1"/>
  </cols>
  <sheetData>
    <row r="1" spans="1:14" ht="20.399999999999999" x14ac:dyDescent="0.75">
      <c r="A1" s="354" t="s">
        <v>263</v>
      </c>
      <c r="B1" s="355"/>
      <c r="C1" s="355"/>
      <c r="D1" s="355"/>
      <c r="E1" s="355"/>
      <c r="F1" s="355"/>
      <c r="G1" s="252"/>
      <c r="H1" s="252"/>
      <c r="I1" s="252"/>
      <c r="J1" s="252"/>
      <c r="K1" s="252"/>
      <c r="L1" s="252"/>
      <c r="M1" s="252"/>
      <c r="N1" s="252"/>
    </row>
    <row r="2" spans="1:14" x14ac:dyDescent="0.45">
      <c r="A2" s="252"/>
      <c r="B2" s="252"/>
      <c r="C2" s="252"/>
      <c r="D2" s="252"/>
      <c r="E2" s="252"/>
      <c r="F2" s="252"/>
      <c r="G2" s="252"/>
      <c r="H2" s="252"/>
      <c r="I2" s="252"/>
      <c r="J2" s="252"/>
      <c r="K2" s="252"/>
      <c r="L2" s="252"/>
      <c r="M2" s="252"/>
      <c r="N2" s="252"/>
    </row>
    <row r="3" spans="1:14" ht="18.3" x14ac:dyDescent="0.7">
      <c r="A3" s="252"/>
      <c r="B3" s="253" t="s">
        <v>91</v>
      </c>
      <c r="C3" s="252"/>
      <c r="D3" s="252"/>
      <c r="E3" s="252"/>
      <c r="F3" s="252"/>
      <c r="G3" s="252"/>
      <c r="H3" s="252"/>
      <c r="I3" s="252"/>
      <c r="J3" s="252"/>
      <c r="K3" s="252"/>
      <c r="L3" s="252"/>
      <c r="M3" s="252"/>
      <c r="N3" s="252"/>
    </row>
    <row r="4" spans="1:14" ht="15.6" x14ac:dyDescent="0.6">
      <c r="A4" s="252"/>
      <c r="B4" s="254"/>
      <c r="C4" s="255" t="s">
        <v>90</v>
      </c>
      <c r="D4" s="250">
        <f>'Step 1'!D11</f>
        <v>1000</v>
      </c>
      <c r="E4" s="255" t="s">
        <v>92</v>
      </c>
      <c r="F4" s="252"/>
      <c r="G4" s="252"/>
      <c r="H4" s="252"/>
      <c r="I4" s="252"/>
      <c r="J4" s="252"/>
      <c r="K4" s="252"/>
      <c r="L4" s="252"/>
      <c r="M4" s="252"/>
      <c r="N4" s="252"/>
    </row>
    <row r="5" spans="1:14" ht="15.6" x14ac:dyDescent="0.6">
      <c r="A5" s="252"/>
      <c r="B5" s="252"/>
      <c r="C5" s="255" t="s">
        <v>89</v>
      </c>
      <c r="D5" s="250">
        <f>'Step 1'!D12</f>
        <v>6000</v>
      </c>
      <c r="E5" s="255" t="s">
        <v>93</v>
      </c>
      <c r="F5" s="252"/>
      <c r="G5" s="252"/>
      <c r="H5" s="252"/>
      <c r="I5" s="252"/>
      <c r="J5" s="252"/>
      <c r="K5" s="252"/>
      <c r="L5" s="252"/>
      <c r="M5" s="252"/>
      <c r="N5" s="252"/>
    </row>
    <row r="6" spans="1:14" ht="15.6" x14ac:dyDescent="0.6">
      <c r="A6" s="252"/>
      <c r="B6" s="252"/>
      <c r="C6" s="255" t="s">
        <v>199</v>
      </c>
      <c r="D6" s="250">
        <f>'Step 1'!D12+'Step 1'!D13+'Step 1'!G14+'Step 1'!G17+'Step 1'!G20</f>
        <v>10185</v>
      </c>
      <c r="E6" s="284" t="s">
        <v>200</v>
      </c>
      <c r="F6" s="252"/>
      <c r="G6" s="252"/>
      <c r="H6" s="252"/>
      <c r="I6" s="252"/>
      <c r="J6" s="252"/>
      <c r="K6" s="252"/>
      <c r="L6" s="252"/>
      <c r="M6" s="252"/>
      <c r="N6" s="252"/>
    </row>
    <row r="7" spans="1:14" x14ac:dyDescent="0.45">
      <c r="A7" s="252"/>
      <c r="B7" s="252"/>
      <c r="C7" s="252"/>
      <c r="D7" s="252"/>
      <c r="E7" s="252"/>
      <c r="F7" s="252"/>
      <c r="G7" s="252"/>
      <c r="H7" s="252"/>
      <c r="I7" s="252"/>
      <c r="J7" s="252"/>
      <c r="K7" s="252"/>
      <c r="L7" s="252"/>
      <c r="M7" s="252"/>
      <c r="N7" s="252"/>
    </row>
    <row r="8" spans="1:14" ht="17.7" x14ac:dyDescent="0.6">
      <c r="A8" s="252"/>
      <c r="B8" s="256"/>
      <c r="C8" s="257"/>
      <c r="D8" s="257"/>
      <c r="E8" s="257"/>
      <c r="F8" s="257"/>
      <c r="G8" s="257"/>
      <c r="H8" s="257"/>
      <c r="I8" s="258" t="s">
        <v>46</v>
      </c>
      <c r="J8" s="258" t="s">
        <v>78</v>
      </c>
      <c r="K8" s="258" t="s">
        <v>87</v>
      </c>
      <c r="L8" s="252"/>
      <c r="M8" s="252"/>
      <c r="N8" s="252"/>
    </row>
    <row r="9" spans="1:14" ht="15.6" x14ac:dyDescent="0.6">
      <c r="A9" s="252"/>
      <c r="B9" s="66" t="s">
        <v>18</v>
      </c>
      <c r="C9" s="259"/>
      <c r="D9" s="259"/>
      <c r="E9" s="259"/>
      <c r="F9" s="259"/>
      <c r="G9" s="259"/>
      <c r="H9" s="259"/>
      <c r="I9" s="198" t="s">
        <v>48</v>
      </c>
      <c r="J9" s="198" t="s">
        <v>49</v>
      </c>
      <c r="K9" s="198" t="s">
        <v>50</v>
      </c>
      <c r="L9" s="252"/>
      <c r="M9" s="252"/>
      <c r="N9" s="252"/>
    </row>
    <row r="10" spans="1:14" ht="15.6" x14ac:dyDescent="0.6">
      <c r="A10" s="252"/>
      <c r="B10" s="260" t="s">
        <v>4</v>
      </c>
      <c r="C10" s="259"/>
      <c r="D10" s="259"/>
      <c r="E10" s="259"/>
      <c r="F10" s="259"/>
      <c r="G10" s="259"/>
      <c r="H10" s="259"/>
      <c r="I10" s="127"/>
      <c r="J10" s="127"/>
      <c r="K10" s="127"/>
      <c r="L10" s="252"/>
      <c r="M10" s="252"/>
      <c r="N10" s="252"/>
    </row>
    <row r="11" spans="1:14" ht="15.6" x14ac:dyDescent="0.6">
      <c r="A11" s="252"/>
      <c r="B11" s="260"/>
      <c r="C11" s="259" t="s">
        <v>129</v>
      </c>
      <c r="D11" s="261">
        <f>'Step 1'!D28</f>
        <v>6000</v>
      </c>
      <c r="E11" s="288" t="s">
        <v>201</v>
      </c>
      <c r="F11" s="289">
        <f>'Step 1'!F28</f>
        <v>4</v>
      </c>
      <c r="G11" s="291">
        <f>'Step 1'!G28</f>
        <v>9</v>
      </c>
      <c r="H11" s="264" t="s">
        <v>47</v>
      </c>
      <c r="I11" s="265">
        <f>D11*F11*G11</f>
        <v>216000</v>
      </c>
      <c r="J11" s="179">
        <f>I11/$D$5</f>
        <v>36</v>
      </c>
      <c r="K11" s="266">
        <f>I11/$D$4</f>
        <v>216</v>
      </c>
      <c r="L11" s="252"/>
      <c r="M11" s="252"/>
      <c r="N11" s="252"/>
    </row>
    <row r="12" spans="1:14" ht="15.6" x14ac:dyDescent="0.6">
      <c r="A12" s="252"/>
      <c r="B12" s="260"/>
      <c r="C12" s="259" t="s">
        <v>130</v>
      </c>
      <c r="D12" s="261">
        <f>'Step 1'!D29</f>
        <v>2500</v>
      </c>
      <c r="E12" s="288" t="s">
        <v>201</v>
      </c>
      <c r="F12" s="289">
        <f>'Step 1'!F29</f>
        <v>5</v>
      </c>
      <c r="G12" s="291">
        <f>'Step 1'!G29</f>
        <v>9</v>
      </c>
      <c r="H12" s="264" t="s">
        <v>47</v>
      </c>
      <c r="I12" s="265">
        <f t="shared" ref="I12:I14" si="0">D12*F12*G12</f>
        <v>112500</v>
      </c>
      <c r="J12" s="179">
        <f t="shared" ref="J12:J14" si="1">I12/$D$5</f>
        <v>18.75</v>
      </c>
      <c r="K12" s="266">
        <f t="shared" ref="K12:K14" si="2">I12/$D$4</f>
        <v>112.5</v>
      </c>
      <c r="L12" s="252"/>
      <c r="M12" s="252"/>
      <c r="N12" s="252"/>
    </row>
    <row r="13" spans="1:14" ht="15.6" x14ac:dyDescent="0.6">
      <c r="A13" s="252"/>
      <c r="B13" s="260"/>
      <c r="C13" s="259" t="s">
        <v>2</v>
      </c>
      <c r="D13" s="261">
        <f>'Step 1'!D30</f>
        <v>60</v>
      </c>
      <c r="E13" s="288" t="s">
        <v>201</v>
      </c>
      <c r="F13" s="289">
        <f>'Step 1'!F30</f>
        <v>6</v>
      </c>
      <c r="G13" s="291">
        <f>'Step 1'!G30</f>
        <v>9</v>
      </c>
      <c r="H13" s="264" t="s">
        <v>47</v>
      </c>
      <c r="I13" s="265">
        <f t="shared" si="0"/>
        <v>3240</v>
      </c>
      <c r="J13" s="179">
        <f t="shared" si="1"/>
        <v>0.54</v>
      </c>
      <c r="K13" s="266">
        <f t="shared" si="2"/>
        <v>3.24</v>
      </c>
      <c r="L13" s="252"/>
      <c r="M13" s="252"/>
      <c r="N13" s="252"/>
    </row>
    <row r="14" spans="1:14" ht="15.6" x14ac:dyDescent="0.6">
      <c r="A14" s="252"/>
      <c r="B14" s="260"/>
      <c r="C14" s="259" t="s">
        <v>138</v>
      </c>
      <c r="D14" s="285">
        <f>'Step 1'!D31</f>
        <v>1625</v>
      </c>
      <c r="E14" s="288" t="s">
        <v>201</v>
      </c>
      <c r="F14" s="290">
        <f>'Step 1'!F31</f>
        <v>0.8</v>
      </c>
      <c r="G14" s="292">
        <f>'Step 1'!G31</f>
        <v>9</v>
      </c>
      <c r="H14" s="286" t="s">
        <v>47</v>
      </c>
      <c r="I14" s="270">
        <f t="shared" si="0"/>
        <v>11700</v>
      </c>
      <c r="J14" s="271">
        <f t="shared" si="1"/>
        <v>1.95</v>
      </c>
      <c r="K14" s="272">
        <f t="shared" si="2"/>
        <v>11.7</v>
      </c>
      <c r="L14" s="252"/>
      <c r="M14" s="252"/>
      <c r="N14" s="252"/>
    </row>
    <row r="15" spans="1:14" ht="15.6" x14ac:dyDescent="0.6">
      <c r="A15" s="252"/>
      <c r="B15" s="260"/>
      <c r="C15" s="259"/>
      <c r="D15" s="261">
        <f>SUM(D11:D14)</f>
        <v>10185</v>
      </c>
      <c r="E15" s="288" t="s">
        <v>201</v>
      </c>
      <c r="F15" s="289">
        <f>'Step 1'!F32</f>
        <v>3.7466863033873343</v>
      </c>
      <c r="G15" s="291">
        <f>'Step 1'!G32</f>
        <v>9</v>
      </c>
      <c r="H15" s="264" t="s">
        <v>150</v>
      </c>
      <c r="I15" s="265">
        <f>SUM(I11:I14)</f>
        <v>343440</v>
      </c>
      <c r="J15" s="179">
        <f>SUM(J11:J14)</f>
        <v>57.24</v>
      </c>
      <c r="K15" s="266">
        <f>SUM(K11:K14)</f>
        <v>343.44</v>
      </c>
      <c r="L15" s="252"/>
      <c r="M15" s="252"/>
      <c r="N15" s="252"/>
    </row>
    <row r="16" spans="1:14" ht="15.6" x14ac:dyDescent="0.6">
      <c r="A16" s="252"/>
      <c r="B16" s="260" t="s">
        <v>22</v>
      </c>
      <c r="C16" s="259"/>
      <c r="D16" s="261"/>
      <c r="E16" s="259"/>
      <c r="F16" s="259"/>
      <c r="G16" s="259"/>
      <c r="H16" s="259"/>
      <c r="I16" s="265"/>
      <c r="J16" s="265"/>
      <c r="K16" s="265"/>
      <c r="L16" s="252"/>
      <c r="M16" s="252"/>
      <c r="N16" s="252"/>
    </row>
    <row r="17" spans="1:14" ht="15.6" x14ac:dyDescent="0.6">
      <c r="A17" s="252"/>
      <c r="B17" s="66"/>
      <c r="C17" s="267" t="s">
        <v>19</v>
      </c>
      <c r="D17" s="279">
        <f>'Step 1'!D34</f>
        <v>900</v>
      </c>
      <c r="E17" s="287" t="s">
        <v>201</v>
      </c>
      <c r="F17" s="293">
        <f>'Step 1'!F34</f>
        <v>40</v>
      </c>
      <c r="G17" s="259" t="s">
        <v>55</v>
      </c>
      <c r="H17" s="252"/>
      <c r="I17" s="265">
        <f>D17*F17</f>
        <v>36000</v>
      </c>
      <c r="J17" s="179">
        <f t="shared" ref="J17:J26" si="3">I17/$D$5</f>
        <v>6</v>
      </c>
      <c r="K17" s="266">
        <f t="shared" ref="K17:K26" si="4">I17/$D$4</f>
        <v>36</v>
      </c>
      <c r="L17" s="252"/>
      <c r="M17" s="252"/>
      <c r="N17" s="252"/>
    </row>
    <row r="18" spans="1:14" ht="15.6" x14ac:dyDescent="0.6">
      <c r="A18" s="252"/>
      <c r="B18" s="66"/>
      <c r="C18" s="267" t="s">
        <v>132</v>
      </c>
      <c r="D18" s="279">
        <f>'Step 1'!D35</f>
        <v>375</v>
      </c>
      <c r="E18" s="287" t="s">
        <v>201</v>
      </c>
      <c r="F18" s="293">
        <f>'Step 1'!F35</f>
        <v>40</v>
      </c>
      <c r="G18" s="259" t="s">
        <v>55</v>
      </c>
      <c r="H18" s="252"/>
      <c r="I18" s="265">
        <f>D18*F18</f>
        <v>15000</v>
      </c>
      <c r="J18" s="179">
        <f t="shared" si="3"/>
        <v>2.5</v>
      </c>
      <c r="K18" s="266">
        <f t="shared" si="4"/>
        <v>15</v>
      </c>
      <c r="L18" s="252"/>
      <c r="M18" s="252"/>
      <c r="N18" s="252"/>
    </row>
    <row r="19" spans="1:14" ht="15.6" x14ac:dyDescent="0.6">
      <c r="A19" s="252"/>
      <c r="B19" s="66"/>
      <c r="C19" s="267" t="s">
        <v>20</v>
      </c>
      <c r="D19" s="279">
        <f>'Step 1'!D36</f>
        <v>3775</v>
      </c>
      <c r="E19" s="287" t="s">
        <v>201</v>
      </c>
      <c r="F19" s="293">
        <f>'Step 1'!F36</f>
        <v>60</v>
      </c>
      <c r="G19" s="259" t="s">
        <v>55</v>
      </c>
      <c r="H19" s="252"/>
      <c r="I19" s="265">
        <f>D19*F19</f>
        <v>226500</v>
      </c>
      <c r="J19" s="179">
        <f t="shared" si="3"/>
        <v>37.75</v>
      </c>
      <c r="K19" s="266">
        <f t="shared" si="4"/>
        <v>226.5</v>
      </c>
      <c r="L19" s="252"/>
      <c r="M19" s="252"/>
      <c r="N19" s="252"/>
    </row>
    <row r="20" spans="1:14" ht="15.6" x14ac:dyDescent="0.6">
      <c r="A20" s="252"/>
      <c r="B20" s="66"/>
      <c r="C20" s="267" t="s">
        <v>21</v>
      </c>
      <c r="D20" s="294">
        <f>'Step 1'!D37</f>
        <v>12</v>
      </c>
      <c r="E20" s="287" t="s">
        <v>201</v>
      </c>
      <c r="F20" s="293">
        <f>'Step 1'!F37</f>
        <v>40</v>
      </c>
      <c r="G20" s="259" t="s">
        <v>55</v>
      </c>
      <c r="H20" s="252"/>
      <c r="I20" s="270">
        <f>D20*F20</f>
        <v>480</v>
      </c>
      <c r="J20" s="271">
        <f t="shared" si="3"/>
        <v>0.08</v>
      </c>
      <c r="K20" s="272">
        <f t="shared" si="4"/>
        <v>0.48</v>
      </c>
      <c r="L20" s="252"/>
      <c r="M20" s="252"/>
      <c r="N20" s="252"/>
    </row>
    <row r="21" spans="1:14" ht="15.6" x14ac:dyDescent="0.6">
      <c r="A21" s="252"/>
      <c r="B21" s="66"/>
      <c r="C21" s="267"/>
      <c r="D21" s="279">
        <f>SUM(D17:D20)</f>
        <v>5062</v>
      </c>
      <c r="E21" s="287" t="s">
        <v>201</v>
      </c>
      <c r="F21" s="268"/>
      <c r="G21" s="259"/>
      <c r="H21" s="259"/>
      <c r="I21" s="265">
        <f>SUM(I17:I20)</f>
        <v>277980</v>
      </c>
      <c r="J21" s="179">
        <f>I21/$D$5</f>
        <v>46.33</v>
      </c>
      <c r="K21" s="266">
        <f t="shared" si="4"/>
        <v>277.98</v>
      </c>
      <c r="L21" s="252"/>
      <c r="M21" s="252"/>
      <c r="N21" s="252"/>
    </row>
    <row r="22" spans="1:14" ht="15.6" x14ac:dyDescent="0.6">
      <c r="A22" s="252"/>
      <c r="B22" s="260" t="s">
        <v>28</v>
      </c>
      <c r="C22" s="273"/>
      <c r="D22" s="273"/>
      <c r="E22" s="268"/>
      <c r="F22" s="268"/>
      <c r="G22" s="259"/>
      <c r="H22" s="259"/>
      <c r="I22" s="265"/>
      <c r="J22" s="265"/>
      <c r="K22" s="265"/>
      <c r="L22" s="252"/>
      <c r="M22" s="252"/>
      <c r="N22" s="252"/>
    </row>
    <row r="23" spans="1:14" ht="15.6" x14ac:dyDescent="0.6">
      <c r="A23" s="252"/>
      <c r="B23" s="274"/>
      <c r="C23" s="267" t="s">
        <v>1</v>
      </c>
      <c r="D23" s="261" t="s">
        <v>99</v>
      </c>
      <c r="E23" s="268"/>
      <c r="F23" s="268"/>
      <c r="G23" s="259"/>
      <c r="H23" s="259"/>
      <c r="I23" s="266"/>
      <c r="J23" s="179"/>
      <c r="K23" s="266"/>
      <c r="L23" s="252"/>
      <c r="M23" s="252"/>
      <c r="N23" s="252"/>
    </row>
    <row r="24" spans="1:14" ht="15.6" x14ac:dyDescent="0.6">
      <c r="A24" s="252"/>
      <c r="B24" s="274"/>
      <c r="C24" s="267" t="s">
        <v>133</v>
      </c>
      <c r="D24" s="261" t="s">
        <v>202</v>
      </c>
      <c r="E24" s="268"/>
      <c r="F24" s="268"/>
      <c r="G24" s="259"/>
      <c r="H24" s="259"/>
      <c r="I24" s="266"/>
      <c r="J24" s="179"/>
      <c r="K24" s="266"/>
      <c r="L24" s="252"/>
      <c r="M24" s="252"/>
      <c r="N24" s="252"/>
    </row>
    <row r="25" spans="1:14" ht="15.6" x14ac:dyDescent="0.6">
      <c r="A25" s="252"/>
      <c r="B25" s="274"/>
      <c r="C25" s="267" t="s">
        <v>2</v>
      </c>
      <c r="D25" s="261">
        <f>'Step 1'!D42</f>
        <v>12</v>
      </c>
      <c r="E25" s="268" t="s">
        <v>57</v>
      </c>
      <c r="F25" s="269">
        <f>'Step 1'!F42</f>
        <v>800</v>
      </c>
      <c r="G25" s="259" t="s">
        <v>58</v>
      </c>
      <c r="H25" s="259"/>
      <c r="I25" s="272">
        <f>-D25*F25</f>
        <v>-9600</v>
      </c>
      <c r="J25" s="271">
        <f t="shared" si="3"/>
        <v>-1.6</v>
      </c>
      <c r="K25" s="272">
        <f t="shared" si="4"/>
        <v>-9.6</v>
      </c>
      <c r="L25" s="252"/>
      <c r="M25" s="252"/>
      <c r="N25" s="252"/>
    </row>
    <row r="26" spans="1:14" ht="15.6" x14ac:dyDescent="0.6">
      <c r="A26" s="252"/>
      <c r="B26" s="66"/>
      <c r="C26" s="273"/>
      <c r="D26" s="273"/>
      <c r="E26" s="273"/>
      <c r="F26" s="273"/>
      <c r="G26" s="273"/>
      <c r="H26" s="273"/>
      <c r="I26" s="266">
        <f>SUM(I23:I25)</f>
        <v>-9600</v>
      </c>
      <c r="J26" s="179">
        <f t="shared" si="3"/>
        <v>-1.6</v>
      </c>
      <c r="K26" s="266">
        <f t="shared" si="4"/>
        <v>-9.6</v>
      </c>
      <c r="L26" s="252"/>
      <c r="M26" s="252"/>
      <c r="N26" s="252"/>
    </row>
    <row r="27" spans="1:14" ht="15.6" x14ac:dyDescent="0.6">
      <c r="A27" s="252"/>
      <c r="B27" s="275" t="s">
        <v>0</v>
      </c>
      <c r="C27" s="257"/>
      <c r="D27" s="257"/>
      <c r="E27" s="257"/>
      <c r="F27" s="257"/>
      <c r="G27" s="257"/>
      <c r="H27" s="257"/>
      <c r="I27" s="276">
        <f>I15+I21+I26</f>
        <v>611820</v>
      </c>
      <c r="J27" s="276">
        <f t="shared" ref="J27:K27" si="5">J15+J21+J26</f>
        <v>101.97</v>
      </c>
      <c r="K27" s="276">
        <f t="shared" si="5"/>
        <v>611.82000000000005</v>
      </c>
      <c r="L27" s="252"/>
      <c r="M27" s="252"/>
      <c r="N27" s="252"/>
    </row>
    <row r="28" spans="1:14" ht="15.6" x14ac:dyDescent="0.6">
      <c r="A28" s="252"/>
      <c r="B28" s="66" t="s">
        <v>23</v>
      </c>
      <c r="C28" s="259"/>
      <c r="D28" s="259"/>
      <c r="E28" s="259"/>
      <c r="F28" s="259"/>
      <c r="G28" s="259"/>
      <c r="H28" s="259"/>
      <c r="I28" s="198" t="s">
        <v>48</v>
      </c>
      <c r="J28" s="198" t="s">
        <v>49</v>
      </c>
      <c r="K28" s="198" t="s">
        <v>50</v>
      </c>
      <c r="L28" s="252"/>
      <c r="M28" s="252"/>
      <c r="N28" s="252"/>
    </row>
    <row r="29" spans="1:14" ht="15.6" x14ac:dyDescent="0.6">
      <c r="A29" s="252"/>
      <c r="B29" s="260" t="s">
        <v>3</v>
      </c>
      <c r="C29" s="259"/>
      <c r="D29" s="259"/>
      <c r="E29" s="259"/>
      <c r="F29" s="259"/>
      <c r="G29" s="259"/>
      <c r="H29" s="259"/>
      <c r="L29" s="252"/>
      <c r="M29" s="252"/>
      <c r="N29" s="252"/>
    </row>
    <row r="30" spans="1:14" ht="15.6" x14ac:dyDescent="0.6">
      <c r="A30" s="252"/>
      <c r="B30" s="260"/>
      <c r="C30" s="259" t="s">
        <v>203</v>
      </c>
      <c r="D30" s="261">
        <f>'Step 1'!D47</f>
        <v>10185</v>
      </c>
      <c r="E30" s="262" t="str">
        <f>E11</f>
        <v xml:space="preserve"> hd</v>
      </c>
      <c r="F30" s="263">
        <f>'Step 1'!F47</f>
        <v>3.5</v>
      </c>
      <c r="G30" s="264" t="s">
        <v>204</v>
      </c>
      <c r="H30" s="259"/>
      <c r="I30" s="265">
        <f>CEILING(D30*F30,10)</f>
        <v>35650</v>
      </c>
      <c r="J30" s="179">
        <f>I30/$D$5</f>
        <v>5.9416666666666664</v>
      </c>
      <c r="K30" s="266">
        <f>I30/$D$4</f>
        <v>35.65</v>
      </c>
      <c r="L30" s="252"/>
      <c r="M30" s="252"/>
      <c r="N30" s="252"/>
    </row>
    <row r="31" spans="1:14" ht="15.6" x14ac:dyDescent="0.6">
      <c r="A31" s="252"/>
      <c r="B31" s="260"/>
      <c r="C31" s="259" t="s">
        <v>135</v>
      </c>
      <c r="D31" s="261">
        <f>'Step 1'!D48</f>
        <v>5400</v>
      </c>
      <c r="E31" s="262" t="str">
        <f>E12</f>
        <v xml:space="preserve"> hd</v>
      </c>
      <c r="F31" s="263">
        <f>'Step 1'!F48</f>
        <v>3.5</v>
      </c>
      <c r="G31" s="264" t="s">
        <v>204</v>
      </c>
      <c r="H31" s="259"/>
      <c r="I31" s="270">
        <f>CEILING(D31*F31,10)</f>
        <v>18900</v>
      </c>
      <c r="J31" s="271">
        <f>I31/$D$5</f>
        <v>3.15</v>
      </c>
      <c r="K31" s="272">
        <f>I31/$D$4</f>
        <v>18.899999999999999</v>
      </c>
      <c r="L31" s="252"/>
      <c r="M31" s="252"/>
      <c r="N31" s="252"/>
    </row>
    <row r="32" spans="1:14" ht="15.6" x14ac:dyDescent="0.6">
      <c r="A32" s="252"/>
      <c r="B32" s="260"/>
      <c r="C32" s="259"/>
      <c r="D32" s="261"/>
      <c r="E32" s="262"/>
      <c r="F32" s="263"/>
      <c r="G32" s="264"/>
      <c r="H32" s="259"/>
      <c r="I32" s="265">
        <f>SUM(I30:I31)</f>
        <v>54550</v>
      </c>
      <c r="J32" s="179">
        <f>SUM(J30:J31)</f>
        <v>9.0916666666666668</v>
      </c>
      <c r="K32" s="266">
        <f>SUM(K30:K31)</f>
        <v>54.55</v>
      </c>
      <c r="L32" s="252"/>
      <c r="M32" s="252"/>
      <c r="N32" s="252"/>
    </row>
    <row r="33" spans="1:14" ht="15.6" x14ac:dyDescent="0.6">
      <c r="A33" s="252"/>
      <c r="B33" s="260" t="s">
        <v>24</v>
      </c>
      <c r="C33" s="259"/>
      <c r="D33" s="261">
        <f>D30</f>
        <v>10185</v>
      </c>
      <c r="E33" s="262" t="str">
        <f>E30</f>
        <v xml:space="preserve"> hd</v>
      </c>
      <c r="F33" s="263">
        <f>'Step 1'!F50</f>
        <v>6.5</v>
      </c>
      <c r="G33" s="264" t="s">
        <v>204</v>
      </c>
      <c r="H33" s="259"/>
      <c r="I33" s="265">
        <f>CEILING(D33*F33,10)</f>
        <v>66210</v>
      </c>
      <c r="J33" s="179">
        <f t="shared" ref="J33:J36" si="6">I33/$D$5</f>
        <v>11.035</v>
      </c>
      <c r="K33" s="266">
        <f t="shared" ref="K33:K36" si="7">I33/$D$4</f>
        <v>66.209999999999994</v>
      </c>
      <c r="L33" s="252"/>
      <c r="M33" s="252"/>
      <c r="N33" s="252"/>
    </row>
    <row r="34" spans="1:14" ht="15.6" x14ac:dyDescent="0.6">
      <c r="A34" s="252"/>
      <c r="B34" s="260" t="s">
        <v>25</v>
      </c>
      <c r="C34" s="259"/>
      <c r="D34" s="279">
        <f>'Step 1'!D51</f>
        <v>224.47058823529412</v>
      </c>
      <c r="E34" s="262" t="s">
        <v>59</v>
      </c>
      <c r="F34" s="263">
        <f>'Step 1'!F51</f>
        <v>20</v>
      </c>
      <c r="G34" s="264" t="s">
        <v>60</v>
      </c>
      <c r="H34" s="259"/>
      <c r="I34" s="265">
        <f>CEILING(D34*F34,10)</f>
        <v>4490</v>
      </c>
      <c r="J34" s="179">
        <f t="shared" si="6"/>
        <v>0.74833333333333329</v>
      </c>
      <c r="K34" s="266">
        <f t="shared" si="7"/>
        <v>4.49</v>
      </c>
      <c r="L34" s="252"/>
      <c r="M34" s="252"/>
      <c r="N34" s="252"/>
    </row>
    <row r="35" spans="1:14" ht="15.6" x14ac:dyDescent="0.6">
      <c r="A35" s="252"/>
      <c r="B35" s="260" t="s">
        <v>26</v>
      </c>
      <c r="C35" s="259"/>
      <c r="D35" s="259"/>
      <c r="E35" s="259"/>
      <c r="F35" s="263">
        <f>'Step 1'!F52</f>
        <v>15</v>
      </c>
      <c r="G35" s="264" t="s">
        <v>60</v>
      </c>
      <c r="H35" s="259"/>
      <c r="I35" s="265">
        <f>CEILING(D34*F35,10)</f>
        <v>3370</v>
      </c>
      <c r="J35" s="179">
        <f t="shared" si="6"/>
        <v>0.56166666666666665</v>
      </c>
      <c r="K35" s="266">
        <f t="shared" si="7"/>
        <v>3.37</v>
      </c>
      <c r="L35" s="252"/>
      <c r="M35" s="252"/>
      <c r="N35" s="252"/>
    </row>
    <row r="36" spans="1:14" ht="15.6" x14ac:dyDescent="0.6">
      <c r="A36" s="252"/>
      <c r="B36" s="260" t="s">
        <v>27</v>
      </c>
      <c r="C36" s="259"/>
      <c r="D36" s="261">
        <f>D17+D18+D19+D20+D25</f>
        <v>5074</v>
      </c>
      <c r="E36" s="268" t="s">
        <v>57</v>
      </c>
      <c r="F36" s="263">
        <f>'Step 1'!F53</f>
        <v>2</v>
      </c>
      <c r="G36" s="264" t="s">
        <v>61</v>
      </c>
      <c r="H36" s="259"/>
      <c r="I36" s="265">
        <f>CEILING(D36*F36,10)</f>
        <v>10150</v>
      </c>
      <c r="J36" s="179">
        <f t="shared" si="6"/>
        <v>1.6916666666666667</v>
      </c>
      <c r="K36" s="266">
        <f t="shared" si="7"/>
        <v>10.15</v>
      </c>
      <c r="L36" s="252"/>
      <c r="M36" s="252"/>
      <c r="N36" s="252"/>
    </row>
    <row r="37" spans="1:14" ht="15.6" x14ac:dyDescent="0.6">
      <c r="A37" s="252"/>
      <c r="B37" s="275" t="s">
        <v>41</v>
      </c>
      <c r="C37" s="257"/>
      <c r="D37" s="257"/>
      <c r="E37" s="280"/>
      <c r="F37" s="257"/>
      <c r="G37" s="257"/>
      <c r="H37" s="257"/>
      <c r="I37" s="276">
        <f>SUM(I32:I36)</f>
        <v>138770</v>
      </c>
      <c r="J37" s="276">
        <f t="shared" ref="J37:K37" si="8">SUM(J32:J36)</f>
        <v>23.128333333333334</v>
      </c>
      <c r="K37" s="276">
        <f t="shared" si="8"/>
        <v>138.76999999999998</v>
      </c>
      <c r="L37" s="252"/>
      <c r="M37" s="252"/>
      <c r="N37" s="252"/>
    </row>
    <row r="38" spans="1:14" ht="15.6" x14ac:dyDescent="0.6">
      <c r="A38" s="252"/>
      <c r="B38" s="281" t="s">
        <v>62</v>
      </c>
      <c r="C38" s="257"/>
      <c r="D38" s="257"/>
      <c r="E38" s="280"/>
      <c r="F38" s="257"/>
      <c r="G38" s="257"/>
      <c r="H38" s="257"/>
      <c r="I38" s="276">
        <f>I27-I37</f>
        <v>473050</v>
      </c>
      <c r="J38" s="277">
        <f>J27-J37</f>
        <v>78.841666666666669</v>
      </c>
      <c r="K38" s="278">
        <f>K27-K37</f>
        <v>473.05000000000007</v>
      </c>
      <c r="L38" s="252"/>
      <c r="M38" s="252"/>
      <c r="N38" s="252"/>
    </row>
    <row r="39" spans="1:14" ht="15.6" x14ac:dyDescent="0.6">
      <c r="A39" s="252"/>
      <c r="B39" s="282"/>
      <c r="C39" s="255"/>
      <c r="D39" s="255"/>
      <c r="E39" s="255"/>
      <c r="F39" s="255"/>
      <c r="G39" s="255"/>
      <c r="H39" s="255"/>
      <c r="I39" s="255"/>
      <c r="J39" s="255"/>
      <c r="K39" s="255"/>
      <c r="L39" s="252"/>
      <c r="M39" s="252"/>
      <c r="N39" s="252"/>
    </row>
    <row r="40" spans="1:14" x14ac:dyDescent="0.45">
      <c r="A40" s="252"/>
      <c r="B40" s="252"/>
      <c r="C40" s="252"/>
      <c r="D40" s="252"/>
      <c r="E40" s="252"/>
      <c r="F40" s="252"/>
      <c r="G40" s="252"/>
      <c r="H40" s="252"/>
      <c r="I40" s="252"/>
      <c r="J40" s="252"/>
      <c r="K40" s="252"/>
      <c r="L40" s="252"/>
      <c r="M40" s="252"/>
      <c r="N40" s="252"/>
    </row>
    <row r="41" spans="1:14" ht="18.3" x14ac:dyDescent="0.7">
      <c r="A41" s="252"/>
      <c r="B41" s="253" t="s">
        <v>211</v>
      </c>
      <c r="C41" s="252"/>
      <c r="D41" s="255"/>
      <c r="E41" s="255"/>
      <c r="F41" s="255"/>
      <c r="G41" s="283"/>
      <c r="H41" s="283"/>
      <c r="I41" s="252"/>
      <c r="J41" s="252"/>
      <c r="K41" s="252"/>
      <c r="L41" s="252"/>
      <c r="M41" s="252"/>
      <c r="N41" s="252"/>
    </row>
    <row r="42" spans="1:14" ht="46.8" x14ac:dyDescent="0.5">
      <c r="A42" s="252"/>
      <c r="B42" s="342"/>
      <c r="C42" s="343" t="s">
        <v>7</v>
      </c>
      <c r="D42" s="344" t="s">
        <v>17</v>
      </c>
      <c r="E42" s="344" t="s">
        <v>98</v>
      </c>
      <c r="F42" s="344" t="s">
        <v>210</v>
      </c>
      <c r="G42" s="344" t="s">
        <v>143</v>
      </c>
      <c r="H42" s="344" t="s">
        <v>144</v>
      </c>
      <c r="I42" s="344" t="s">
        <v>227</v>
      </c>
      <c r="J42" s="344" t="s">
        <v>145</v>
      </c>
      <c r="K42" s="344" t="s">
        <v>220</v>
      </c>
      <c r="L42" s="345" t="s">
        <v>213</v>
      </c>
      <c r="M42" s="252"/>
    </row>
    <row r="43" spans="1:14" ht="15.6" x14ac:dyDescent="0.6">
      <c r="A43" s="252"/>
      <c r="B43" s="330" t="s">
        <v>8</v>
      </c>
      <c r="C43" s="134">
        <f>'Step 3'!G107</f>
        <v>0.25</v>
      </c>
      <c r="D43" s="331">
        <f>'Step 2'!$E36*(1-C$43)+('Step 2'!$G13*C$43)</f>
        <v>0.87750000000000006</v>
      </c>
      <c r="E43" s="332">
        <f>'Step 2'!$E37*(1-C$43)+('Step 2'!$G14*C$43)</f>
        <v>5.0625000000000003E-2</v>
      </c>
      <c r="F43" s="332">
        <f>'Step 2'!$E38*(1-C$43)+('Step 2'!$G15*C$43)</f>
        <v>2.0250000000000001E-2</v>
      </c>
      <c r="G43" s="333">
        <f>'Step 2'!$E39*(1-C$43)+('Step 2'!$G16*C$43)</f>
        <v>39</v>
      </c>
      <c r="H43" s="333">
        <f>'Step 2'!$E40*(1-C$43)+('Step 2'!$G17*C$43)</f>
        <v>39</v>
      </c>
      <c r="I43" s="333">
        <f>'Step 2'!$E41*(1-C$43)+('Step 2'!$G18*C$43)</f>
        <v>58.5</v>
      </c>
      <c r="J43" s="333">
        <f>'Step 2'!$E42*(1-C$43)+('Step 2'!$G19*C$43)</f>
        <v>39</v>
      </c>
      <c r="K43" s="334">
        <f>'Step 2'!$E43*(1-C$43)+('Step 2'!$G20*C$43)</f>
        <v>6.2010000000000005</v>
      </c>
      <c r="L43" s="333">
        <f>'Step 2'!$E44*(1-C$43)+('Step 2'!$G21*C$43)</f>
        <v>9.0562500000000004</v>
      </c>
      <c r="M43" s="252"/>
      <c r="N43" s="252"/>
    </row>
    <row r="44" spans="1:14" ht="15.6" x14ac:dyDescent="0.6">
      <c r="A44" s="252"/>
      <c r="B44" s="335" t="s">
        <v>9</v>
      </c>
      <c r="C44" s="138">
        <f>'Step 3'!G108</f>
        <v>0.05</v>
      </c>
      <c r="D44" s="135">
        <f>'Step 2'!$E36*(1-C$44)+('Step 2'!$G13*C$44)</f>
        <v>0.89549999999999996</v>
      </c>
      <c r="E44" s="336">
        <f>'Step 2'!$E37*(1-C$44)+('Step 2'!$G14*C$44)</f>
        <v>5.0125000000000003E-2</v>
      </c>
      <c r="F44" s="336">
        <f>'Step 2'!$E38*(1-C$44)+('Step 2'!$G15*C$44)</f>
        <v>2.0049999999999998E-2</v>
      </c>
      <c r="G44" s="337">
        <f>'Step 2'!$E39*(1-C$44)+('Step 2'!$G16*C$44)</f>
        <v>39.799999999999997</v>
      </c>
      <c r="H44" s="337">
        <f>'Step 2'!$E40*(1-C$44)+('Step 2'!$G17*C$44)</f>
        <v>39.799999999999997</v>
      </c>
      <c r="I44" s="337">
        <f>'Step 2'!$E41*(1-C$44)+('Step 2'!$G18*C$44)</f>
        <v>59.7</v>
      </c>
      <c r="J44" s="337">
        <f>'Step 2'!$E42*(1-C$44)+('Step 2'!$G19*C$44)</f>
        <v>39.799999999999997</v>
      </c>
      <c r="K44" s="207">
        <f>'Step 2'!$E43*(1-C$44)+('Step 2'!$G20*C$44)</f>
        <v>6.3281999999999998</v>
      </c>
      <c r="L44" s="337">
        <f>'Step 2'!$E44*(1-C$44)+('Step 2'!$G21*C$44)</f>
        <v>9.0112499999999986</v>
      </c>
      <c r="M44" s="252"/>
      <c r="N44" s="252"/>
    </row>
    <row r="45" spans="1:14" ht="15.6" x14ac:dyDescent="0.6">
      <c r="A45" s="252"/>
      <c r="B45" s="335" t="s">
        <v>10</v>
      </c>
      <c r="C45" s="138">
        <f>'Step 3'!G109</f>
        <v>0</v>
      </c>
      <c r="D45" s="135">
        <f>'Step 2'!$E36*(1-C$45)+('Step 2'!$G13*C$45)</f>
        <v>0.9</v>
      </c>
      <c r="E45" s="336">
        <f>'Step 2'!$E37*(1-C$45)+('Step 2'!$G14*C$45)</f>
        <v>0.05</v>
      </c>
      <c r="F45" s="336">
        <f>'Step 2'!$E38*(1-C$45)+('Step 2'!$G15*C$45)</f>
        <v>0.02</v>
      </c>
      <c r="G45" s="337">
        <f>'Step 2'!$E39*(1-C$45)+('Step 2'!$G16*C$45)</f>
        <v>40</v>
      </c>
      <c r="H45" s="337">
        <f>'Step 2'!$E40*(1-C$45)+('Step 2'!$G17*C$45)</f>
        <v>40</v>
      </c>
      <c r="I45" s="337">
        <f>'Step 2'!$E41*(1-C$45)+('Step 2'!$G18*C$45)</f>
        <v>60</v>
      </c>
      <c r="J45" s="337">
        <f>'Step 2'!$E42*(1-C$45)+('Step 2'!$G19*C$45)</f>
        <v>40</v>
      </c>
      <c r="K45" s="207">
        <f>'Step 2'!$E43*(1-C$45)+('Step 2'!$G20*C$45)</f>
        <v>6.36</v>
      </c>
      <c r="L45" s="337">
        <f>'Step 2'!$E44*(1-C$45)+('Step 2'!$G21*C$45)</f>
        <v>9</v>
      </c>
      <c r="M45" s="252"/>
      <c r="N45" s="252"/>
    </row>
    <row r="46" spans="1:14" ht="15.6" x14ac:dyDescent="0.6">
      <c r="A46" s="252"/>
      <c r="B46" s="335" t="s">
        <v>11</v>
      </c>
      <c r="C46" s="138">
        <f>'Step 3'!G110</f>
        <v>0</v>
      </c>
      <c r="D46" s="135">
        <f>'Step 2'!$E36*(1-C$46)+('Step 2'!$G13*C$46)</f>
        <v>0.9</v>
      </c>
      <c r="E46" s="336">
        <f>'Step 2'!$E37*(1-C$46)+('Step 2'!$G14*C$46)</f>
        <v>0.05</v>
      </c>
      <c r="F46" s="336">
        <f>'Step 2'!$E38*(1-C$46)+('Step 2'!$G15*C$46)</f>
        <v>0.02</v>
      </c>
      <c r="G46" s="337">
        <f>'Step 2'!$E39*(1-C$46)+('Step 2'!$G16*C$46)</f>
        <v>40</v>
      </c>
      <c r="H46" s="337">
        <f>'Step 2'!$E40*(1-C$46)+('Step 2'!$G17*C$46)</f>
        <v>40</v>
      </c>
      <c r="I46" s="337">
        <f>'Step 2'!$E41*(1-C$46)+('Step 2'!$G18*C$46)</f>
        <v>60</v>
      </c>
      <c r="J46" s="337">
        <f>'Step 2'!$E42*(1-C$46)+('Step 2'!$G19*C$46)</f>
        <v>40</v>
      </c>
      <c r="K46" s="207">
        <f>'Step 2'!$E43*(1-C$46)+('Step 2'!$G20*C$46)</f>
        <v>6.36</v>
      </c>
      <c r="L46" s="337">
        <f>'Step 2'!$E44*(1-C$46)+('Step 2'!$G21*C$46)</f>
        <v>9</v>
      </c>
      <c r="M46" s="252"/>
      <c r="N46" s="252"/>
    </row>
    <row r="47" spans="1:14" ht="15.6" x14ac:dyDescent="0.6">
      <c r="A47" s="252"/>
      <c r="B47" s="335" t="s">
        <v>6</v>
      </c>
      <c r="C47" s="138">
        <f>'Step 3'!G111</f>
        <v>0</v>
      </c>
      <c r="D47" s="135">
        <f>'Step 2'!$E36*(1-C$47)+('Step 2'!$G13*C$47)</f>
        <v>0.9</v>
      </c>
      <c r="E47" s="336">
        <f>'Step 2'!$E37*(1-C$47)+('Step 2'!$G14*C$47)</f>
        <v>0.05</v>
      </c>
      <c r="F47" s="336">
        <f>'Step 2'!$E38*(1-C$47)+('Step 2'!$G15*C$47)</f>
        <v>0.02</v>
      </c>
      <c r="G47" s="337">
        <f>'Step 2'!$E39*(1-C$47)+('Step 2'!$G16*C$47)</f>
        <v>40</v>
      </c>
      <c r="H47" s="337">
        <f>'Step 2'!$E40*(1-C$47)+('Step 2'!$G17*C$47)</f>
        <v>40</v>
      </c>
      <c r="I47" s="337">
        <f>'Step 2'!$E41*(1-C$47)+('Step 2'!$G18*C$47)</f>
        <v>60</v>
      </c>
      <c r="J47" s="337">
        <f>'Step 2'!$E42*(1-C$47)+('Step 2'!$G19*C$47)</f>
        <v>40</v>
      </c>
      <c r="K47" s="207">
        <f>'Step 2'!$E43*(1-C$47)+('Step 2'!$G20*C$47)</f>
        <v>6.36</v>
      </c>
      <c r="L47" s="337">
        <f>'Step 2'!$E44*(1-C$47)+('Step 2'!$G21*C$47)</f>
        <v>9</v>
      </c>
      <c r="M47" s="252"/>
      <c r="N47" s="252"/>
    </row>
    <row r="48" spans="1:14" ht="15.6" x14ac:dyDescent="0.6">
      <c r="A48" s="252"/>
      <c r="B48" s="335" t="s">
        <v>12</v>
      </c>
      <c r="C48" s="138">
        <f>'Step 3'!G112</f>
        <v>0</v>
      </c>
      <c r="D48" s="135">
        <f>'Step 2'!$E36*(1-C$48)+('Step 2'!$G13*C$48)</f>
        <v>0.9</v>
      </c>
      <c r="E48" s="336">
        <f>'Step 2'!$E37*(1-C$48)+('Step 2'!$G14*C$48)</f>
        <v>0.05</v>
      </c>
      <c r="F48" s="336">
        <f>'Step 2'!$E38*(1-C$48)+('Step 2'!$G15*C$48)</f>
        <v>0.02</v>
      </c>
      <c r="G48" s="337">
        <f>'Step 2'!$E39*(1-C$48)+('Step 2'!$G16*C$48)</f>
        <v>40</v>
      </c>
      <c r="H48" s="337">
        <f>'Step 2'!$E40*(1-C$48)+('Step 2'!$G17*C$48)</f>
        <v>40</v>
      </c>
      <c r="I48" s="337">
        <f>'Step 2'!$E41*(1-C$48)+('Step 2'!$G18*C$48)</f>
        <v>60</v>
      </c>
      <c r="J48" s="337">
        <f>'Step 2'!$E42*(1-C$48)+('Step 2'!$G19*C$48)</f>
        <v>40</v>
      </c>
      <c r="K48" s="207">
        <f>'Step 2'!$E43*(1-C$48)+('Step 2'!$G20*C$48)</f>
        <v>6.36</v>
      </c>
      <c r="L48" s="337">
        <f>'Step 2'!$E44*(1-C$48)+('Step 2'!$G21*C$48)</f>
        <v>9</v>
      </c>
      <c r="M48" s="252"/>
      <c r="N48" s="252"/>
    </row>
    <row r="49" spans="1:14" ht="15.6" x14ac:dyDescent="0.6">
      <c r="A49" s="252"/>
      <c r="B49" s="335" t="s">
        <v>13</v>
      </c>
      <c r="C49" s="138">
        <f>'Step 3'!G113</f>
        <v>0</v>
      </c>
      <c r="D49" s="135">
        <f>'Step 2'!$E36*(1-C$49)+('Step 2'!$G13*C$49)</f>
        <v>0.9</v>
      </c>
      <c r="E49" s="336">
        <f>'Step 2'!$E37*(1-C$49)+('Step 2'!$G14*C$49)</f>
        <v>0.05</v>
      </c>
      <c r="F49" s="336">
        <f>'Step 2'!$E38*(1-C$49)+('Step 2'!$G15*C$49)</f>
        <v>0.02</v>
      </c>
      <c r="G49" s="337">
        <f>'Step 2'!$E39*(1-C$49)+('Step 2'!$G16*C$49)</f>
        <v>40</v>
      </c>
      <c r="H49" s="337">
        <f>'Step 2'!$E40*(1-C$49)+('Step 2'!$G17*C$49)</f>
        <v>40</v>
      </c>
      <c r="I49" s="337">
        <f>'Step 2'!$E41*(1-C$49)+('Step 2'!$G18*C$49)</f>
        <v>60</v>
      </c>
      <c r="J49" s="337">
        <f>'Step 2'!$E42*(1-C$49)+('Step 2'!$G19*C$49)</f>
        <v>40</v>
      </c>
      <c r="K49" s="207">
        <f>'Step 2'!$E43*(1-C$49)+('Step 2'!$G20*C$49)</f>
        <v>6.36</v>
      </c>
      <c r="L49" s="337">
        <f>'Step 2'!$E44*(1-C$49)+('Step 2'!$G21*C$49)</f>
        <v>9</v>
      </c>
      <c r="M49" s="252"/>
      <c r="N49" s="252"/>
    </row>
    <row r="50" spans="1:14" ht="15.6" x14ac:dyDescent="0.6">
      <c r="A50" s="252"/>
      <c r="B50" s="335" t="s">
        <v>14</v>
      </c>
      <c r="C50" s="138">
        <f>'Step 3'!G114</f>
        <v>0</v>
      </c>
      <c r="D50" s="135">
        <f>'Step 2'!$E36*(1-C$50)+('Step 2'!$G13*C$50)</f>
        <v>0.9</v>
      </c>
      <c r="E50" s="336">
        <f>'Step 2'!$E37*(1-C$50)+('Step 2'!$G14*C$50)</f>
        <v>0.05</v>
      </c>
      <c r="F50" s="336">
        <f>'Step 2'!$E38*(1-C$50)+('Step 2'!$G15*C$50)</f>
        <v>0.02</v>
      </c>
      <c r="G50" s="337">
        <f>'Step 2'!$E39*(1-C$50)+('Step 2'!$G16*C$50)</f>
        <v>40</v>
      </c>
      <c r="H50" s="337">
        <f>'Step 2'!$E40*(1-C$50)+('Step 2'!$G17*C$50)</f>
        <v>40</v>
      </c>
      <c r="I50" s="337">
        <f>'Step 2'!$E41*(1-C$50)+('Step 2'!$G18*C$50)</f>
        <v>60</v>
      </c>
      <c r="J50" s="337">
        <f>'Step 2'!$E42*(1-C$50)+('Step 2'!$G19*C$50)</f>
        <v>40</v>
      </c>
      <c r="K50" s="207">
        <f>'Step 2'!$E43*(1-C$50)+('Step 2'!$G20*C$50)</f>
        <v>6.36</v>
      </c>
      <c r="L50" s="337">
        <f>'Step 2'!$E44*(1-C$50)+('Step 2'!$G21*C$50)</f>
        <v>9</v>
      </c>
      <c r="M50" s="252"/>
      <c r="N50" s="252"/>
    </row>
    <row r="51" spans="1:14" ht="15.6" x14ac:dyDescent="0.6">
      <c r="A51" s="252"/>
      <c r="B51" s="335" t="s">
        <v>15</v>
      </c>
      <c r="C51" s="138">
        <f>'Step 3'!G115</f>
        <v>0</v>
      </c>
      <c r="D51" s="135">
        <f>'Step 2'!$E36*(1-C$51)+('Step 2'!$G13*C$51)</f>
        <v>0.9</v>
      </c>
      <c r="E51" s="336">
        <f>'Step 2'!$E37*(1-C$51)+('Step 2'!$G14*C$51)</f>
        <v>0.05</v>
      </c>
      <c r="F51" s="336">
        <f>'Step 2'!$E38*(1-C$51)+('Step 2'!$G15*C$51)</f>
        <v>0.02</v>
      </c>
      <c r="G51" s="337">
        <f>'Step 2'!$E39*(1-C$51)+('Step 2'!$G16*C$51)</f>
        <v>40</v>
      </c>
      <c r="H51" s="337">
        <f>'Step 2'!$E40*(1-C$51)+('Step 2'!$G17*C$51)</f>
        <v>40</v>
      </c>
      <c r="I51" s="337">
        <f>'Step 2'!$E41*(1-C$51)+('Step 2'!$G18*C$51)</f>
        <v>60</v>
      </c>
      <c r="J51" s="337">
        <f>'Step 2'!$E42*(1-C$51)+('Step 2'!$G19*C$51)</f>
        <v>40</v>
      </c>
      <c r="K51" s="207">
        <f>'Step 2'!$E43*(1-C$51)+('Step 2'!$G20*C$51)</f>
        <v>6.36</v>
      </c>
      <c r="L51" s="337">
        <f>'Step 2'!$E44*(1-C$51)+('Step 2'!$G21*C$51)</f>
        <v>9</v>
      </c>
      <c r="M51" s="252"/>
      <c r="N51" s="252"/>
    </row>
    <row r="52" spans="1:14" ht="15.6" x14ac:dyDescent="0.6">
      <c r="A52" s="252"/>
      <c r="B52" s="338" t="s">
        <v>16</v>
      </c>
      <c r="C52" s="139">
        <f>'Step 3'!G116</f>
        <v>0</v>
      </c>
      <c r="D52" s="339">
        <f>'Step 2'!$E36*(1-C$52)+('Step 2'!$G13*C$52)</f>
        <v>0.9</v>
      </c>
      <c r="E52" s="340">
        <f>'Step 2'!$E37*(1-C$52)+('Step 2'!$G14*C$52)</f>
        <v>0.05</v>
      </c>
      <c r="F52" s="340">
        <f>'Step 2'!$E38*(1-C$52)+('Step 2'!$G15*C$52)</f>
        <v>0.02</v>
      </c>
      <c r="G52" s="341">
        <f>'Step 2'!$E39*(1-C$52)+('Step 2'!$G16*C$52)</f>
        <v>40</v>
      </c>
      <c r="H52" s="341">
        <f>'Step 2'!$E40*(1-C$52)+('Step 2'!$G17*C$52)</f>
        <v>40</v>
      </c>
      <c r="I52" s="341">
        <f>'Step 2'!$E41*(1-C$52)+('Step 2'!$G18*C$52)</f>
        <v>60</v>
      </c>
      <c r="J52" s="341">
        <f>'Step 2'!$E42*(1-C$52)+('Step 2'!$G19*C$52)</f>
        <v>40</v>
      </c>
      <c r="K52" s="209">
        <f>'Step 2'!$E43*(1-C$52)+('Step 2'!$G20*C$52)</f>
        <v>6.36</v>
      </c>
      <c r="L52" s="341">
        <f>'Step 2'!$E44*(1-C$52)+('Step 2'!$G21*C$52)</f>
        <v>9</v>
      </c>
      <c r="M52" s="252"/>
      <c r="N52" s="252"/>
    </row>
    <row r="53" spans="1:14" ht="15.3" x14ac:dyDescent="0.55000000000000004">
      <c r="A53" s="252"/>
      <c r="B53" s="252"/>
      <c r="C53" s="252"/>
      <c r="D53" s="252"/>
      <c r="E53" s="252"/>
      <c r="F53" s="252"/>
      <c r="G53" s="252"/>
      <c r="H53" s="283"/>
      <c r="I53" s="252"/>
      <c r="J53" s="252"/>
      <c r="K53" s="252"/>
      <c r="L53" s="252"/>
      <c r="M53" s="252"/>
      <c r="N53" s="252"/>
    </row>
    <row r="54" spans="1:14" x14ac:dyDescent="0.45">
      <c r="A54" s="252"/>
      <c r="B54" s="252"/>
      <c r="C54" s="252"/>
      <c r="D54" s="252"/>
      <c r="E54" s="252"/>
      <c r="F54" s="252"/>
      <c r="G54" s="252"/>
      <c r="H54" s="252"/>
      <c r="I54" s="252"/>
      <c r="J54" s="252"/>
      <c r="K54" s="252"/>
      <c r="L54" s="252"/>
      <c r="M54" s="252"/>
      <c r="N54" s="252"/>
    </row>
    <row r="55" spans="1:14" x14ac:dyDescent="0.45">
      <c r="A55" s="252"/>
      <c r="B55" s="252"/>
      <c r="C55" s="252"/>
      <c r="D55" s="252"/>
      <c r="E55" s="252"/>
      <c r="F55" s="252"/>
      <c r="G55" s="252"/>
      <c r="H55" s="252"/>
      <c r="I55" s="252"/>
      <c r="J55" s="252"/>
      <c r="K55" s="252"/>
      <c r="L55" s="252"/>
      <c r="M55" s="252"/>
      <c r="N55" s="252"/>
    </row>
    <row r="56" spans="1:14" ht="18.3" x14ac:dyDescent="0.7">
      <c r="A56" s="252"/>
      <c r="B56" s="253" t="s">
        <v>264</v>
      </c>
      <c r="C56" s="252"/>
      <c r="D56" s="252"/>
      <c r="E56" s="252"/>
      <c r="F56" s="252"/>
      <c r="G56" s="252"/>
      <c r="H56" s="252"/>
      <c r="I56" s="252"/>
      <c r="J56" s="252"/>
      <c r="K56" s="252"/>
      <c r="L56" s="252"/>
      <c r="M56" s="252"/>
      <c r="N56" s="252"/>
    </row>
    <row r="57" spans="1:14" ht="17.7" x14ac:dyDescent="0.6">
      <c r="A57" s="252"/>
      <c r="B57" s="256"/>
      <c r="C57" s="257"/>
      <c r="D57" s="257"/>
      <c r="E57" s="257"/>
      <c r="F57" s="257"/>
      <c r="G57" s="257"/>
      <c r="H57" s="257"/>
      <c r="I57" s="258" t="s">
        <v>46</v>
      </c>
      <c r="J57" s="258" t="s">
        <v>78</v>
      </c>
      <c r="K57" s="258" t="s">
        <v>87</v>
      </c>
      <c r="L57" s="252"/>
      <c r="M57" s="252"/>
      <c r="N57" s="252"/>
    </row>
    <row r="58" spans="1:14" ht="15.6" x14ac:dyDescent="0.6">
      <c r="A58" s="252"/>
      <c r="B58" s="66" t="s">
        <v>18</v>
      </c>
      <c r="C58" s="259"/>
      <c r="D58" s="259"/>
      <c r="E58" s="259"/>
      <c r="F58" s="259"/>
      <c r="G58" s="259"/>
      <c r="H58" s="259"/>
      <c r="I58" s="198" t="s">
        <v>48</v>
      </c>
      <c r="J58" s="198" t="s">
        <v>49</v>
      </c>
      <c r="K58" s="198" t="s">
        <v>50</v>
      </c>
      <c r="L58" s="252"/>
      <c r="M58" s="252"/>
      <c r="N58" s="252"/>
    </row>
    <row r="59" spans="1:14" ht="15.6" x14ac:dyDescent="0.6">
      <c r="A59" s="252"/>
      <c r="B59" s="260" t="s">
        <v>4</v>
      </c>
      <c r="C59" s="259"/>
      <c r="D59" s="261">
        <f>$D$11</f>
        <v>6000</v>
      </c>
      <c r="E59" s="288" t="s">
        <v>212</v>
      </c>
      <c r="F59" s="348">
        <f>K43</f>
        <v>6.2010000000000005</v>
      </c>
      <c r="G59" s="263">
        <f>L43</f>
        <v>9.0562500000000004</v>
      </c>
      <c r="H59" s="264" t="s">
        <v>47</v>
      </c>
      <c r="I59" s="265">
        <f>CEILING(D59*F59*G59,10)</f>
        <v>336950</v>
      </c>
      <c r="J59" s="179">
        <f>I59/$D$5</f>
        <v>56.158333333333331</v>
      </c>
      <c r="K59" s="266">
        <f>I59/$D$4</f>
        <v>336.95</v>
      </c>
      <c r="L59" s="252"/>
      <c r="M59" s="252"/>
      <c r="N59" s="252"/>
    </row>
    <row r="60" spans="1:14" ht="15.6" x14ac:dyDescent="0.6">
      <c r="A60" s="252"/>
      <c r="B60" s="260"/>
      <c r="C60" s="259"/>
      <c r="D60" s="261"/>
      <c r="E60" s="314" t="s">
        <v>214</v>
      </c>
      <c r="F60" s="289"/>
      <c r="G60" s="263"/>
      <c r="H60" s="264"/>
      <c r="I60" s="265"/>
      <c r="J60" s="179"/>
      <c r="K60" s="266"/>
      <c r="L60" s="252"/>
      <c r="M60" s="252"/>
      <c r="N60" s="252"/>
    </row>
    <row r="61" spans="1:14" ht="15.6" x14ac:dyDescent="0.6">
      <c r="A61" s="252"/>
      <c r="B61" s="260" t="s">
        <v>22</v>
      </c>
      <c r="C61" s="259"/>
      <c r="D61" s="261"/>
      <c r="E61" s="327" t="s">
        <v>225</v>
      </c>
      <c r="F61" s="259"/>
      <c r="G61" s="259"/>
      <c r="H61" s="259"/>
      <c r="I61" s="265"/>
      <c r="J61" s="265"/>
      <c r="K61" s="265"/>
      <c r="L61" s="252"/>
      <c r="M61" s="252"/>
      <c r="N61" s="252"/>
    </row>
    <row r="62" spans="1:14" ht="15.6" x14ac:dyDescent="0.6">
      <c r="A62" s="252"/>
      <c r="B62" s="66"/>
      <c r="C62" s="267" t="s">
        <v>19</v>
      </c>
      <c r="D62" s="261">
        <f>D$17+D$11*'Step 3'!G139</f>
        <v>1050</v>
      </c>
      <c r="E62" s="328">
        <f>-(D$17-D62)/D$17</f>
        <v>0.16666666666666666</v>
      </c>
      <c r="F62" s="346">
        <f>G43</f>
        <v>39</v>
      </c>
      <c r="G62" s="259" t="s">
        <v>55</v>
      </c>
      <c r="H62" s="252"/>
      <c r="I62" s="265">
        <f>CEILING(D62*F62,10)</f>
        <v>40950</v>
      </c>
      <c r="J62" s="179">
        <f t="shared" ref="J62:J77" si="9">I62/$D$5</f>
        <v>6.8250000000000002</v>
      </c>
      <c r="K62" s="266">
        <f t="shared" ref="K62:K72" si="10">I62/$D$4</f>
        <v>40.950000000000003</v>
      </c>
      <c r="L62" s="252"/>
      <c r="M62" s="252"/>
      <c r="N62" s="252"/>
    </row>
    <row r="63" spans="1:14" ht="15.6" x14ac:dyDescent="0.6">
      <c r="A63" s="252"/>
      <c r="B63" s="66"/>
      <c r="C63" s="267" t="s">
        <v>215</v>
      </c>
      <c r="D63" s="261">
        <f>D$18+D$12*'Step 3'!G139</f>
        <v>437.5</v>
      </c>
      <c r="E63" s="328">
        <f>-(D$18-D63)/D$18</f>
        <v>0.16666666666666666</v>
      </c>
      <c r="F63" s="346">
        <f>H43</f>
        <v>39</v>
      </c>
      <c r="G63" s="259" t="s">
        <v>55</v>
      </c>
      <c r="H63" s="252"/>
      <c r="I63" s="265">
        <f>CEILING(D63*F63,10)</f>
        <v>17070</v>
      </c>
      <c r="J63" s="179">
        <f t="shared" si="9"/>
        <v>2.8450000000000002</v>
      </c>
      <c r="K63" s="266">
        <f t="shared" si="10"/>
        <v>17.07</v>
      </c>
      <c r="L63" s="252"/>
      <c r="M63" s="252"/>
      <c r="N63" s="252"/>
    </row>
    <row r="64" spans="1:14" ht="15.6" x14ac:dyDescent="0.6">
      <c r="A64" s="252"/>
      <c r="B64" s="66"/>
      <c r="C64" s="267" t="s">
        <v>20</v>
      </c>
      <c r="D64" s="261"/>
      <c r="E64" s="326"/>
      <c r="F64" s="347"/>
      <c r="G64" s="252"/>
      <c r="H64" s="252"/>
      <c r="I64" s="127"/>
      <c r="J64" s="127"/>
      <c r="K64" s="127"/>
      <c r="L64" s="252"/>
      <c r="M64" s="252"/>
      <c r="N64" s="252"/>
    </row>
    <row r="65" spans="1:14" ht="15.6" x14ac:dyDescent="0.6">
      <c r="A65" s="252"/>
      <c r="B65" s="66"/>
      <c r="C65" s="273" t="s">
        <v>216</v>
      </c>
      <c r="D65" s="261">
        <f>D$59*D43</f>
        <v>5265</v>
      </c>
      <c r="E65" s="326"/>
      <c r="F65" s="263"/>
      <c r="G65" s="259"/>
      <c r="H65" s="252"/>
      <c r="I65" s="265"/>
      <c r="J65" s="179"/>
      <c r="K65" s="266"/>
      <c r="L65" s="252"/>
      <c r="M65" s="252"/>
      <c r="N65" s="252"/>
    </row>
    <row r="66" spans="1:14" ht="15.6" x14ac:dyDescent="0.6">
      <c r="A66" s="252"/>
      <c r="B66" s="66"/>
      <c r="C66" s="273" t="s">
        <v>98</v>
      </c>
      <c r="D66" s="261">
        <f>-D$11*E43</f>
        <v>-303.75</v>
      </c>
      <c r="E66" s="326"/>
      <c r="F66" s="263"/>
      <c r="G66" s="259"/>
      <c r="H66" s="252"/>
      <c r="I66" s="265"/>
      <c r="J66" s="179"/>
      <c r="K66" s="266"/>
      <c r="L66" s="252"/>
      <c r="M66" s="252"/>
      <c r="N66" s="252"/>
    </row>
    <row r="67" spans="1:14" ht="15.6" x14ac:dyDescent="0.6">
      <c r="A67" s="252"/>
      <c r="B67" s="66"/>
      <c r="C67" s="273" t="s">
        <v>222</v>
      </c>
      <c r="D67" s="261">
        <f>-D62</f>
        <v>-1050</v>
      </c>
      <c r="E67" s="326"/>
      <c r="F67" s="263"/>
      <c r="G67" s="259"/>
      <c r="H67" s="252"/>
      <c r="I67" s="265"/>
      <c r="J67" s="179"/>
      <c r="K67" s="266"/>
      <c r="L67" s="252"/>
      <c r="M67" s="252"/>
      <c r="N67" s="252"/>
    </row>
    <row r="68" spans="1:14" ht="15.6" x14ac:dyDescent="0.6">
      <c r="A68" s="252"/>
      <c r="B68" s="66"/>
      <c r="C68" s="273" t="s">
        <v>210</v>
      </c>
      <c r="D68" s="261">
        <f>-D$12*F43</f>
        <v>-50.625</v>
      </c>
      <c r="E68" s="326"/>
      <c r="F68" s="263"/>
      <c r="G68" s="259"/>
      <c r="H68" s="252"/>
      <c r="I68" s="265"/>
      <c r="J68" s="179"/>
      <c r="K68" s="266"/>
      <c r="L68" s="252"/>
      <c r="M68" s="252"/>
      <c r="N68" s="252"/>
    </row>
    <row r="69" spans="1:14" ht="15.6" x14ac:dyDescent="0.6">
      <c r="A69" s="252"/>
      <c r="B69" s="66"/>
      <c r="C69" s="273" t="s">
        <v>217</v>
      </c>
      <c r="D69" s="285">
        <f>-D63</f>
        <v>-437.5</v>
      </c>
      <c r="E69" s="326"/>
      <c r="F69" s="263"/>
      <c r="G69" s="259"/>
      <c r="H69" s="252"/>
      <c r="I69" s="265"/>
      <c r="J69" s="179"/>
      <c r="K69" s="266"/>
      <c r="L69" s="252"/>
      <c r="M69" s="252"/>
      <c r="N69" s="252"/>
    </row>
    <row r="70" spans="1:14" ht="15.6" x14ac:dyDescent="0.6">
      <c r="A70" s="252"/>
      <c r="B70" s="66"/>
      <c r="C70" s="267"/>
      <c r="D70" s="261">
        <f>SUM(D65:D69)</f>
        <v>3423.125</v>
      </c>
      <c r="E70" s="329">
        <f>-(D$19-D70)/D$19</f>
        <v>-9.3211920529801318E-2</v>
      </c>
      <c r="F70" s="263">
        <f>I43</f>
        <v>58.5</v>
      </c>
      <c r="G70" s="259" t="s">
        <v>55</v>
      </c>
      <c r="H70" s="252"/>
      <c r="I70" s="265">
        <f>D70*F70</f>
        <v>200252.8125</v>
      </c>
      <c r="J70" s="179">
        <f>I70/$D$5</f>
        <v>33.375468750000003</v>
      </c>
      <c r="K70" s="266">
        <f>I70/$D$4</f>
        <v>200.2528125</v>
      </c>
      <c r="L70" s="252"/>
      <c r="M70" s="252"/>
      <c r="N70" s="252"/>
    </row>
    <row r="71" spans="1:14" ht="15.6" x14ac:dyDescent="0.6">
      <c r="A71" s="252"/>
      <c r="B71" s="66"/>
      <c r="C71" s="267" t="s">
        <v>21</v>
      </c>
      <c r="D71" s="261">
        <f>D$25</f>
        <v>12</v>
      </c>
      <c r="E71" s="268" t="s">
        <v>57</v>
      </c>
      <c r="F71" s="263">
        <f>J43</f>
        <v>39</v>
      </c>
      <c r="G71" s="259" t="s">
        <v>55</v>
      </c>
      <c r="H71" s="252"/>
      <c r="I71" s="270">
        <f>CEILING(D71*F71,10)</f>
        <v>470</v>
      </c>
      <c r="J71" s="271">
        <f t="shared" si="9"/>
        <v>7.8333333333333338E-2</v>
      </c>
      <c r="K71" s="272">
        <f t="shared" si="10"/>
        <v>0.47</v>
      </c>
      <c r="L71" s="252"/>
      <c r="M71" s="252"/>
      <c r="N71" s="252"/>
    </row>
    <row r="72" spans="1:14" ht="15.6" x14ac:dyDescent="0.6">
      <c r="A72" s="252"/>
      <c r="B72" s="66"/>
      <c r="C72" s="267"/>
      <c r="D72" s="267"/>
      <c r="E72" s="268"/>
      <c r="F72" s="268"/>
      <c r="G72" s="259"/>
      <c r="H72" s="259"/>
      <c r="I72" s="265">
        <f>SUM(I62:I71)</f>
        <v>258742.8125</v>
      </c>
      <c r="J72" s="179">
        <f>I72/$D$5</f>
        <v>43.123802083333331</v>
      </c>
      <c r="K72" s="266">
        <f t="shared" si="10"/>
        <v>258.74281250000001</v>
      </c>
      <c r="L72" s="252"/>
      <c r="M72" s="252"/>
      <c r="N72" s="252"/>
    </row>
    <row r="73" spans="1:14" ht="15.6" x14ac:dyDescent="0.6">
      <c r="A73" s="252"/>
      <c r="B73" s="260" t="s">
        <v>28</v>
      </c>
      <c r="C73" s="273"/>
      <c r="D73" s="273"/>
      <c r="E73" s="268"/>
      <c r="F73" s="268"/>
      <c r="G73" s="259"/>
      <c r="H73" s="259"/>
      <c r="I73" s="265"/>
      <c r="J73" s="265"/>
      <c r="K73" s="265"/>
      <c r="L73" s="252"/>
      <c r="M73" s="252"/>
      <c r="N73" s="252"/>
    </row>
    <row r="74" spans="1:14" ht="15.6" x14ac:dyDescent="0.6">
      <c r="A74" s="252"/>
      <c r="B74" s="274"/>
      <c r="C74" s="267" t="s">
        <v>1</v>
      </c>
      <c r="D74" s="261" t="s">
        <v>99</v>
      </c>
      <c r="E74" s="268"/>
      <c r="F74" s="268"/>
      <c r="G74" s="259"/>
      <c r="H74" s="259"/>
      <c r="I74" s="266">
        <v>0</v>
      </c>
      <c r="J74" s="179">
        <f t="shared" si="9"/>
        <v>0</v>
      </c>
      <c r="K74" s="266">
        <f t="shared" ref="K74:K77" si="11">I74/$D$4</f>
        <v>0</v>
      </c>
      <c r="L74" s="252"/>
      <c r="M74" s="252"/>
      <c r="N74" s="252"/>
    </row>
    <row r="75" spans="1:14" ht="15.6" x14ac:dyDescent="0.6">
      <c r="A75" s="252"/>
      <c r="B75" s="274"/>
      <c r="C75" s="267" t="s">
        <v>133</v>
      </c>
      <c r="D75" s="261" t="s">
        <v>134</v>
      </c>
      <c r="E75" s="268"/>
      <c r="F75" s="268"/>
      <c r="G75" s="259"/>
      <c r="H75" s="259"/>
      <c r="I75" s="266">
        <v>0</v>
      </c>
      <c r="J75" s="179">
        <f t="shared" si="9"/>
        <v>0</v>
      </c>
      <c r="K75" s="266">
        <f t="shared" si="11"/>
        <v>0</v>
      </c>
      <c r="L75" s="252"/>
      <c r="M75" s="252"/>
      <c r="N75" s="252"/>
    </row>
    <row r="76" spans="1:14" ht="15.6" x14ac:dyDescent="0.6">
      <c r="A76" s="252"/>
      <c r="B76" s="274"/>
      <c r="C76" s="267" t="s">
        <v>2</v>
      </c>
      <c r="D76" s="261">
        <f>D$25</f>
        <v>12</v>
      </c>
      <c r="E76" s="268" t="s">
        <v>57</v>
      </c>
      <c r="F76" s="269">
        <f>F$25</f>
        <v>800</v>
      </c>
      <c r="G76" s="259" t="s">
        <v>58</v>
      </c>
      <c r="H76" s="259"/>
      <c r="I76" s="272">
        <f>CEILING(-D76*F76,10)</f>
        <v>-9600</v>
      </c>
      <c r="J76" s="271">
        <f t="shared" si="9"/>
        <v>-1.6</v>
      </c>
      <c r="K76" s="272">
        <f t="shared" si="11"/>
        <v>-9.6</v>
      </c>
      <c r="L76" s="252"/>
      <c r="M76" s="252"/>
      <c r="N76" s="252"/>
    </row>
    <row r="77" spans="1:14" ht="15.6" x14ac:dyDescent="0.6">
      <c r="A77" s="252"/>
      <c r="B77" s="66"/>
      <c r="C77" s="273"/>
      <c r="D77" s="273"/>
      <c r="E77" s="273"/>
      <c r="F77" s="273"/>
      <c r="G77" s="273"/>
      <c r="H77" s="273"/>
      <c r="I77" s="266">
        <f>SUM(I74:I76)</f>
        <v>-9600</v>
      </c>
      <c r="J77" s="179">
        <f t="shared" si="9"/>
        <v>-1.6</v>
      </c>
      <c r="K77" s="266">
        <f t="shared" si="11"/>
        <v>-9.6</v>
      </c>
      <c r="L77" s="252"/>
      <c r="M77" s="252"/>
      <c r="N77" s="252"/>
    </row>
    <row r="78" spans="1:14" ht="15.6" x14ac:dyDescent="0.6">
      <c r="A78" s="252"/>
      <c r="B78" s="275" t="s">
        <v>0</v>
      </c>
      <c r="C78" s="257"/>
      <c r="D78" s="257"/>
      <c r="E78" s="257"/>
      <c r="F78" s="257"/>
      <c r="G78" s="257"/>
      <c r="H78" s="257"/>
      <c r="I78" s="276">
        <f>I59+I72+I77</f>
        <v>586092.8125</v>
      </c>
      <c r="J78" s="277">
        <f>J59+J72+J77</f>
        <v>97.682135416666668</v>
      </c>
      <c r="K78" s="278">
        <f>K59+K72+K77</f>
        <v>586.09281249999992</v>
      </c>
      <c r="L78" s="252"/>
      <c r="M78" s="252"/>
      <c r="N78" s="252"/>
    </row>
    <row r="79" spans="1:14" ht="15.6" x14ac:dyDescent="0.6">
      <c r="A79" s="252"/>
      <c r="B79" s="66" t="s">
        <v>23</v>
      </c>
      <c r="C79" s="259"/>
      <c r="D79" s="259"/>
      <c r="E79" s="259"/>
      <c r="F79" s="259"/>
      <c r="G79" s="259"/>
      <c r="H79" s="259"/>
      <c r="I79" s="198" t="s">
        <v>48</v>
      </c>
      <c r="J79" s="198" t="s">
        <v>49</v>
      </c>
      <c r="K79" s="198" t="s">
        <v>50</v>
      </c>
      <c r="L79" s="252"/>
      <c r="M79" s="252"/>
      <c r="N79" s="252"/>
    </row>
    <row r="80" spans="1:14" ht="15.6" x14ac:dyDescent="0.6">
      <c r="A80" s="252"/>
      <c r="B80" s="260" t="s">
        <v>3</v>
      </c>
      <c r="C80" s="259"/>
      <c r="L80" s="252"/>
      <c r="M80" s="252"/>
      <c r="N80" s="252"/>
    </row>
    <row r="81" spans="1:14" ht="15.6" x14ac:dyDescent="0.6">
      <c r="A81" s="252"/>
      <c r="B81" s="260"/>
      <c r="C81" s="259" t="s">
        <v>224</v>
      </c>
      <c r="D81" s="261">
        <f>D$15</f>
        <v>10185</v>
      </c>
      <c r="E81" s="262" t="s">
        <v>57</v>
      </c>
      <c r="F81" s="263">
        <f>F$30</f>
        <v>3.5</v>
      </c>
      <c r="G81" s="264" t="s">
        <v>204</v>
      </c>
      <c r="H81" s="259"/>
      <c r="I81" s="265">
        <f>CEILING(D81*F81,10)</f>
        <v>35650</v>
      </c>
      <c r="J81" s="179">
        <f>I81/$D$5</f>
        <v>5.9416666666666664</v>
      </c>
      <c r="K81" s="266">
        <f>I81/$D$4</f>
        <v>35.65</v>
      </c>
      <c r="L81" s="252"/>
      <c r="M81" s="252"/>
      <c r="N81" s="252"/>
    </row>
    <row r="82" spans="1:14" ht="15.6" x14ac:dyDescent="0.6">
      <c r="A82" s="252"/>
      <c r="B82" s="260"/>
      <c r="C82" s="259" t="s">
        <v>135</v>
      </c>
      <c r="D82" s="261">
        <f>D65</f>
        <v>5265</v>
      </c>
      <c r="E82" s="262" t="s">
        <v>57</v>
      </c>
      <c r="F82" s="263">
        <f>F$31</f>
        <v>3.5</v>
      </c>
      <c r="G82" s="264" t="s">
        <v>204</v>
      </c>
      <c r="H82" s="259"/>
      <c r="I82" s="265">
        <f>CEILING(D82*F82,10)</f>
        <v>18430</v>
      </c>
      <c r="J82" s="179">
        <f>I82/$D$5</f>
        <v>3.0716666666666668</v>
      </c>
      <c r="K82" s="266">
        <f>I82/$D$4</f>
        <v>18.43</v>
      </c>
      <c r="L82" s="252"/>
      <c r="M82" s="252"/>
      <c r="N82" s="252"/>
    </row>
    <row r="83" spans="1:14" ht="15.6" x14ac:dyDescent="0.6">
      <c r="A83" s="252"/>
      <c r="B83" s="260" t="s">
        <v>97</v>
      </c>
      <c r="C83" s="259"/>
      <c r="D83" s="261">
        <f>D81</f>
        <v>10185</v>
      </c>
      <c r="E83" s="262" t="s">
        <v>57</v>
      </c>
      <c r="F83" s="263">
        <f>I83/D83</f>
        <v>12.108001963672066</v>
      </c>
      <c r="G83" s="264" t="s">
        <v>204</v>
      </c>
      <c r="H83" s="259"/>
      <c r="I83" s="265">
        <f>'Step 3'!G86</f>
        <v>123320</v>
      </c>
      <c r="J83" s="179">
        <f t="shared" ref="J83:J87" si="12">I83/$D$5</f>
        <v>20.553333333333335</v>
      </c>
      <c r="K83" s="266">
        <f t="shared" ref="K83:K87" si="13">I83/$D$4</f>
        <v>123.32</v>
      </c>
      <c r="L83" s="252"/>
      <c r="M83" s="252"/>
      <c r="N83" s="252"/>
    </row>
    <row r="84" spans="1:14" ht="15.6" x14ac:dyDescent="0.6">
      <c r="A84" s="252"/>
      <c r="B84" s="260" t="s">
        <v>24</v>
      </c>
      <c r="C84" s="259"/>
      <c r="D84" s="261">
        <f>D81</f>
        <v>10185</v>
      </c>
      <c r="E84" s="262" t="str">
        <f>E81</f>
        <v>hd @</v>
      </c>
      <c r="F84" s="263">
        <f>F$33</f>
        <v>6.5</v>
      </c>
      <c r="G84" s="264" t="s">
        <v>204</v>
      </c>
      <c r="H84" s="259"/>
      <c r="I84" s="265">
        <f>CEILING(D84*F84,10)</f>
        <v>66210</v>
      </c>
      <c r="J84" s="179">
        <f t="shared" si="12"/>
        <v>11.035</v>
      </c>
      <c r="K84" s="266">
        <f t="shared" si="13"/>
        <v>66.209999999999994</v>
      </c>
      <c r="L84" s="252"/>
      <c r="M84" s="252"/>
      <c r="N84" s="252"/>
    </row>
    <row r="85" spans="1:14" ht="15.6" x14ac:dyDescent="0.6">
      <c r="A85" s="252"/>
      <c r="B85" s="260" t="s">
        <v>25</v>
      </c>
      <c r="C85" s="259"/>
      <c r="D85" s="279">
        <f>D59*F59/170</f>
        <v>218.85882352941175</v>
      </c>
      <c r="E85" s="262" t="s">
        <v>59</v>
      </c>
      <c r="F85" s="263">
        <f>F$34</f>
        <v>20</v>
      </c>
      <c r="G85" s="264" t="s">
        <v>60</v>
      </c>
      <c r="H85" s="259"/>
      <c r="I85" s="265">
        <f>CEILING(D85*F85,10)</f>
        <v>4380</v>
      </c>
      <c r="J85" s="179">
        <f t="shared" si="12"/>
        <v>0.73</v>
      </c>
      <c r="K85" s="266">
        <f t="shared" si="13"/>
        <v>4.38</v>
      </c>
      <c r="L85" s="252"/>
      <c r="M85" s="252"/>
      <c r="N85" s="252"/>
    </row>
    <row r="86" spans="1:14" ht="15.6" x14ac:dyDescent="0.6">
      <c r="A86" s="252"/>
      <c r="B86" s="260" t="s">
        <v>26</v>
      </c>
      <c r="C86" s="259"/>
      <c r="D86" s="259"/>
      <c r="E86" s="259"/>
      <c r="F86" s="263">
        <f>F$35</f>
        <v>15</v>
      </c>
      <c r="G86" s="264" t="s">
        <v>60</v>
      </c>
      <c r="H86" s="259"/>
      <c r="I86" s="265">
        <f>CEILING(D85*F86,10)</f>
        <v>3290</v>
      </c>
      <c r="J86" s="179">
        <f t="shared" si="12"/>
        <v>0.54833333333333334</v>
      </c>
      <c r="K86" s="266">
        <f t="shared" si="13"/>
        <v>3.29</v>
      </c>
      <c r="L86" s="252"/>
      <c r="M86" s="252"/>
      <c r="N86" s="252"/>
    </row>
    <row r="87" spans="1:14" ht="15.6" x14ac:dyDescent="0.6">
      <c r="A87" s="252"/>
      <c r="B87" s="260" t="s">
        <v>27</v>
      </c>
      <c r="C87" s="259"/>
      <c r="D87" s="261">
        <f>D62+D63+D70+D71+D76</f>
        <v>4934.625</v>
      </c>
      <c r="E87" s="268" t="s">
        <v>57</v>
      </c>
      <c r="F87" s="263">
        <f>F$36</f>
        <v>2</v>
      </c>
      <c r="G87" s="264" t="s">
        <v>61</v>
      </c>
      <c r="H87" s="259"/>
      <c r="I87" s="265">
        <f>CEILING(D87*F87,10)</f>
        <v>9870</v>
      </c>
      <c r="J87" s="179">
        <f t="shared" si="12"/>
        <v>1.645</v>
      </c>
      <c r="K87" s="266">
        <f t="shared" si="13"/>
        <v>9.8699999999999992</v>
      </c>
      <c r="L87" s="252"/>
      <c r="M87" s="252"/>
      <c r="N87" s="252"/>
    </row>
    <row r="88" spans="1:14" ht="15.6" x14ac:dyDescent="0.6">
      <c r="A88" s="252"/>
      <c r="B88" s="275" t="s">
        <v>41</v>
      </c>
      <c r="C88" s="257"/>
      <c r="D88" s="257"/>
      <c r="E88" s="280"/>
      <c r="F88" s="257"/>
      <c r="G88" s="257"/>
      <c r="H88" s="257"/>
      <c r="I88" s="276">
        <f>SUM(I81:I87)</f>
        <v>261150</v>
      </c>
      <c r="J88" s="277">
        <f>SUM(J81:J87)</f>
        <v>43.525000000000006</v>
      </c>
      <c r="K88" s="278">
        <f>SUM(K81:K87)</f>
        <v>261.14999999999992</v>
      </c>
      <c r="L88" s="252"/>
      <c r="M88" s="252"/>
      <c r="N88" s="252"/>
    </row>
    <row r="89" spans="1:14" ht="15.6" x14ac:dyDescent="0.6">
      <c r="A89" s="252"/>
      <c r="B89" s="281" t="s">
        <v>62</v>
      </c>
      <c r="C89" s="257"/>
      <c r="D89" s="257"/>
      <c r="E89" s="280"/>
      <c r="F89" s="257"/>
      <c r="G89" s="257"/>
      <c r="H89" s="257"/>
      <c r="I89" s="276">
        <f>I78-I88</f>
        <v>324942.8125</v>
      </c>
      <c r="J89" s="277">
        <f>J78-J88</f>
        <v>54.157135416666662</v>
      </c>
      <c r="K89" s="278">
        <f>K78-K88</f>
        <v>324.9428125</v>
      </c>
      <c r="L89" s="252"/>
      <c r="M89" s="252"/>
      <c r="N89" s="252"/>
    </row>
    <row r="90" spans="1:14" ht="15.6" x14ac:dyDescent="0.6">
      <c r="A90" s="252"/>
      <c r="B90" s="282"/>
      <c r="C90" s="255"/>
      <c r="D90" s="255"/>
      <c r="E90" s="255"/>
      <c r="F90" s="255"/>
      <c r="G90" s="255"/>
      <c r="H90" s="255"/>
      <c r="I90" s="255"/>
      <c r="J90" s="255"/>
      <c r="K90" s="255"/>
      <c r="L90" s="252"/>
      <c r="M90" s="252"/>
      <c r="N90" s="252"/>
    </row>
    <row r="91" spans="1:14" ht="18.3" x14ac:dyDescent="0.7">
      <c r="A91" s="252"/>
      <c r="B91" s="253" t="s">
        <v>265</v>
      </c>
      <c r="C91" s="252"/>
      <c r="D91" s="252"/>
      <c r="E91" s="252"/>
      <c r="F91" s="252"/>
      <c r="G91" s="252"/>
      <c r="H91" s="252"/>
      <c r="I91" s="252"/>
      <c r="J91" s="252"/>
      <c r="K91" s="252"/>
      <c r="L91" s="252"/>
      <c r="M91" s="252"/>
      <c r="N91" s="252"/>
    </row>
    <row r="92" spans="1:14" ht="17.7" x14ac:dyDescent="0.6">
      <c r="A92" s="252"/>
      <c r="B92" s="256"/>
      <c r="C92" s="257"/>
      <c r="D92" s="257"/>
      <c r="E92" s="257"/>
      <c r="F92" s="257"/>
      <c r="G92" s="257"/>
      <c r="H92" s="257"/>
      <c r="I92" s="258" t="s">
        <v>46</v>
      </c>
      <c r="J92" s="258" t="s">
        <v>78</v>
      </c>
      <c r="K92" s="258" t="s">
        <v>87</v>
      </c>
      <c r="L92" s="252"/>
      <c r="M92" s="252"/>
      <c r="N92" s="252"/>
    </row>
    <row r="93" spans="1:14" ht="15.6" x14ac:dyDescent="0.6">
      <c r="A93" s="252"/>
      <c r="B93" s="66" t="s">
        <v>18</v>
      </c>
      <c r="C93" s="259"/>
      <c r="D93" s="259"/>
      <c r="E93" s="259"/>
      <c r="F93" s="259"/>
      <c r="G93" s="259"/>
      <c r="H93" s="259"/>
      <c r="I93" s="198" t="s">
        <v>48</v>
      </c>
      <c r="J93" s="198" t="s">
        <v>49</v>
      </c>
      <c r="K93" s="198" t="s">
        <v>50</v>
      </c>
      <c r="L93" s="252"/>
      <c r="M93" s="252"/>
      <c r="N93" s="252"/>
    </row>
    <row r="94" spans="1:14" ht="15.6" x14ac:dyDescent="0.6">
      <c r="A94" s="252"/>
      <c r="B94" s="260" t="s">
        <v>4</v>
      </c>
      <c r="C94" s="259"/>
      <c r="D94" s="261">
        <f>$D$11</f>
        <v>6000</v>
      </c>
      <c r="E94" s="288" t="s">
        <v>212</v>
      </c>
      <c r="F94" s="348">
        <f>K44</f>
        <v>6.3281999999999998</v>
      </c>
      <c r="G94" s="263">
        <f>L44</f>
        <v>9.0112499999999986</v>
      </c>
      <c r="H94" s="264" t="s">
        <v>47</v>
      </c>
      <c r="I94" s="265">
        <f>CEILING(D94*F94*G94,10)</f>
        <v>342150</v>
      </c>
      <c r="J94" s="179">
        <f>I94/$D$5</f>
        <v>57.024999999999999</v>
      </c>
      <c r="K94" s="266">
        <f>I94/$D$4</f>
        <v>342.15</v>
      </c>
      <c r="L94" s="252"/>
      <c r="M94" s="252"/>
      <c r="N94" s="252"/>
    </row>
    <row r="95" spans="1:14" ht="15.6" x14ac:dyDescent="0.6">
      <c r="A95" s="252"/>
      <c r="B95" s="260"/>
      <c r="C95" s="259"/>
      <c r="D95" s="261"/>
      <c r="E95" s="314" t="s">
        <v>214</v>
      </c>
      <c r="F95" s="289"/>
      <c r="G95" s="263"/>
      <c r="H95" s="264"/>
      <c r="I95" s="265"/>
      <c r="J95" s="179"/>
      <c r="K95" s="266"/>
      <c r="L95" s="252"/>
      <c r="M95" s="252"/>
      <c r="N95" s="252"/>
    </row>
    <row r="96" spans="1:14" ht="15.6" x14ac:dyDescent="0.6">
      <c r="A96" s="252"/>
      <c r="B96" s="260" t="s">
        <v>22</v>
      </c>
      <c r="C96" s="259"/>
      <c r="D96" s="261"/>
      <c r="E96" s="327" t="s">
        <v>225</v>
      </c>
      <c r="F96" s="259"/>
      <c r="G96" s="259"/>
      <c r="H96" s="259"/>
      <c r="I96" s="265"/>
      <c r="J96" s="265"/>
      <c r="K96" s="265"/>
      <c r="L96" s="252"/>
      <c r="M96" s="252"/>
      <c r="N96" s="252"/>
    </row>
    <row r="97" spans="1:14" ht="15.6" x14ac:dyDescent="0.6">
      <c r="A97" s="252"/>
      <c r="B97" s="66"/>
      <c r="C97" s="267" t="s">
        <v>19</v>
      </c>
      <c r="D97" s="261">
        <f>D$17+D$11*'Step 3'!G140</f>
        <v>915</v>
      </c>
      <c r="E97" s="328">
        <f>-(D$17-D97)/D$17</f>
        <v>1.6666666666666666E-2</v>
      </c>
      <c r="F97" s="346">
        <f>G44</f>
        <v>39.799999999999997</v>
      </c>
      <c r="G97" s="259" t="s">
        <v>55</v>
      </c>
      <c r="H97" s="252"/>
      <c r="I97" s="265">
        <f>CEILING(D97*F97,10)</f>
        <v>36420</v>
      </c>
      <c r="J97" s="179">
        <f t="shared" ref="J97:J98" si="14">I97/$D$5</f>
        <v>6.07</v>
      </c>
      <c r="K97" s="266">
        <f t="shared" ref="K97:K98" si="15">I97/$D$4</f>
        <v>36.42</v>
      </c>
      <c r="L97" s="252"/>
      <c r="M97" s="252"/>
      <c r="N97" s="252"/>
    </row>
    <row r="98" spans="1:14" ht="15.6" x14ac:dyDescent="0.6">
      <c r="A98" s="252"/>
      <c r="B98" s="66"/>
      <c r="C98" s="267" t="s">
        <v>215</v>
      </c>
      <c r="D98" s="261">
        <f>D$18+D$12*'Step 3'!G140</f>
        <v>381.25</v>
      </c>
      <c r="E98" s="328">
        <f>-(D$18-D98)/D$18</f>
        <v>1.6666666666666666E-2</v>
      </c>
      <c r="F98" s="346">
        <f>H44</f>
        <v>39.799999999999997</v>
      </c>
      <c r="G98" s="259" t="s">
        <v>55</v>
      </c>
      <c r="H98" s="252"/>
      <c r="I98" s="265">
        <f>CEILING(D98*F98,10)</f>
        <v>15180</v>
      </c>
      <c r="J98" s="179">
        <f t="shared" si="14"/>
        <v>2.5299999999999998</v>
      </c>
      <c r="K98" s="266">
        <f t="shared" si="15"/>
        <v>15.18</v>
      </c>
      <c r="L98" s="252"/>
      <c r="M98" s="252"/>
      <c r="N98" s="252"/>
    </row>
    <row r="99" spans="1:14" ht="15.6" x14ac:dyDescent="0.6">
      <c r="A99" s="252"/>
      <c r="B99" s="66"/>
      <c r="C99" s="267" t="s">
        <v>20</v>
      </c>
      <c r="D99" s="261"/>
      <c r="E99" s="326"/>
      <c r="F99" s="252"/>
      <c r="G99" s="252"/>
      <c r="H99" s="252"/>
      <c r="I99" s="127"/>
      <c r="J99" s="127"/>
      <c r="K99" s="127"/>
      <c r="L99" s="252"/>
      <c r="M99" s="252"/>
      <c r="N99" s="252"/>
    </row>
    <row r="100" spans="1:14" ht="15.6" x14ac:dyDescent="0.6">
      <c r="A100" s="252"/>
      <c r="B100" s="66"/>
      <c r="C100" s="273" t="s">
        <v>216</v>
      </c>
      <c r="D100" s="261">
        <f>D$59*D44</f>
        <v>5373</v>
      </c>
      <c r="E100" s="326"/>
      <c r="F100" s="269"/>
      <c r="G100" s="259"/>
      <c r="H100" s="252"/>
      <c r="I100" s="265"/>
      <c r="J100" s="179"/>
      <c r="K100" s="266"/>
      <c r="L100" s="252"/>
      <c r="M100" s="252"/>
      <c r="N100" s="252"/>
    </row>
    <row r="101" spans="1:14" ht="15.6" x14ac:dyDescent="0.6">
      <c r="A101" s="252"/>
      <c r="B101" s="66"/>
      <c r="C101" s="273" t="s">
        <v>98</v>
      </c>
      <c r="D101" s="261">
        <f>-D$11*E44</f>
        <v>-300.75</v>
      </c>
      <c r="E101" s="326"/>
      <c r="F101" s="269"/>
      <c r="G101" s="259"/>
      <c r="H101" s="252"/>
      <c r="I101" s="265"/>
      <c r="J101" s="179"/>
      <c r="K101" s="266"/>
      <c r="L101" s="252"/>
      <c r="M101" s="252"/>
      <c r="N101" s="252"/>
    </row>
    <row r="102" spans="1:14" ht="15.6" x14ac:dyDescent="0.6">
      <c r="A102" s="252"/>
      <c r="B102" s="66"/>
      <c r="C102" s="273" t="s">
        <v>222</v>
      </c>
      <c r="D102" s="261">
        <f>-D97</f>
        <v>-915</v>
      </c>
      <c r="E102" s="326"/>
      <c r="F102" s="269"/>
      <c r="G102" s="259"/>
      <c r="H102" s="252"/>
      <c r="I102" s="265"/>
      <c r="J102" s="179"/>
      <c r="K102" s="266"/>
      <c r="L102" s="252"/>
      <c r="M102" s="252"/>
      <c r="N102" s="252"/>
    </row>
    <row r="103" spans="1:14" ht="15.6" x14ac:dyDescent="0.6">
      <c r="A103" s="252"/>
      <c r="B103" s="66"/>
      <c r="C103" s="273" t="s">
        <v>210</v>
      </c>
      <c r="D103" s="261">
        <f>-D$12*F44</f>
        <v>-50.124999999999993</v>
      </c>
      <c r="E103" s="326"/>
      <c r="F103" s="269"/>
      <c r="G103" s="259"/>
      <c r="H103" s="252"/>
      <c r="I103" s="265"/>
      <c r="J103" s="179"/>
      <c r="K103" s="266"/>
      <c r="L103" s="252"/>
      <c r="M103" s="252"/>
      <c r="N103" s="252"/>
    </row>
    <row r="104" spans="1:14" ht="15.6" x14ac:dyDescent="0.6">
      <c r="A104" s="252"/>
      <c r="B104" s="66"/>
      <c r="C104" s="273" t="s">
        <v>217</v>
      </c>
      <c r="D104" s="285">
        <f>-D98</f>
        <v>-381.25</v>
      </c>
      <c r="E104" s="326"/>
      <c r="F104" s="269"/>
      <c r="G104" s="259"/>
      <c r="H104" s="252"/>
      <c r="I104" s="265"/>
      <c r="J104" s="179"/>
      <c r="K104" s="266"/>
      <c r="L104" s="252"/>
      <c r="M104" s="252"/>
      <c r="N104" s="252"/>
    </row>
    <row r="105" spans="1:14" ht="15.6" x14ac:dyDescent="0.6">
      <c r="A105" s="252"/>
      <c r="B105" s="66"/>
      <c r="C105" s="267"/>
      <c r="D105" s="261">
        <f>SUM(D100:D104)</f>
        <v>3725.875</v>
      </c>
      <c r="E105" s="329">
        <f>-(D$19-D105)/D$19</f>
        <v>-1.3013245033112584E-2</v>
      </c>
      <c r="F105" s="263">
        <f>I44</f>
        <v>59.7</v>
      </c>
      <c r="G105" s="259" t="s">
        <v>55</v>
      </c>
      <c r="H105" s="252"/>
      <c r="I105" s="265">
        <f>D105*F105</f>
        <v>222434.73750000002</v>
      </c>
      <c r="J105" s="179">
        <f>I105/$D$5</f>
        <v>37.072456250000002</v>
      </c>
      <c r="K105" s="266">
        <f>I105/$D$4</f>
        <v>222.43473750000001</v>
      </c>
      <c r="L105" s="252"/>
      <c r="M105" s="252"/>
      <c r="N105" s="252"/>
    </row>
    <row r="106" spans="1:14" ht="15.6" x14ac:dyDescent="0.6">
      <c r="A106" s="252"/>
      <c r="B106" s="66"/>
      <c r="C106" s="267" t="s">
        <v>21</v>
      </c>
      <c r="D106" s="261">
        <f>D$25</f>
        <v>12</v>
      </c>
      <c r="E106" s="268" t="s">
        <v>57</v>
      </c>
      <c r="F106" s="263">
        <f>J44</f>
        <v>39.799999999999997</v>
      </c>
      <c r="G106" s="259" t="s">
        <v>55</v>
      </c>
      <c r="H106" s="252"/>
      <c r="I106" s="270">
        <f>CEILING(D106*F106,10)</f>
        <v>480</v>
      </c>
      <c r="J106" s="271">
        <f t="shared" ref="J106" si="16">I106/$D$5</f>
        <v>0.08</v>
      </c>
      <c r="K106" s="272">
        <f t="shared" ref="K106:K107" si="17">I106/$D$4</f>
        <v>0.48</v>
      </c>
      <c r="L106" s="252"/>
      <c r="M106" s="252"/>
      <c r="N106" s="252"/>
    </row>
    <row r="107" spans="1:14" ht="15.6" x14ac:dyDescent="0.6">
      <c r="A107" s="252"/>
      <c r="B107" s="66"/>
      <c r="C107" s="267"/>
      <c r="D107" s="267"/>
      <c r="E107" s="268"/>
      <c r="F107" s="268"/>
      <c r="G107" s="259"/>
      <c r="H107" s="259"/>
      <c r="I107" s="265">
        <f>SUM(I97:I106)</f>
        <v>274514.73750000005</v>
      </c>
      <c r="J107" s="179">
        <f>I107/$D$5</f>
        <v>45.752456250000009</v>
      </c>
      <c r="K107" s="266">
        <f t="shared" si="17"/>
        <v>274.51473750000002</v>
      </c>
      <c r="L107" s="252"/>
      <c r="M107" s="252"/>
      <c r="N107" s="252"/>
    </row>
    <row r="108" spans="1:14" ht="15.6" x14ac:dyDescent="0.6">
      <c r="A108" s="252"/>
      <c r="B108" s="260" t="s">
        <v>28</v>
      </c>
      <c r="C108" s="273"/>
      <c r="D108" s="273"/>
      <c r="E108" s="268"/>
      <c r="F108" s="268"/>
      <c r="G108" s="259"/>
      <c r="H108" s="259"/>
      <c r="I108" s="265"/>
      <c r="J108" s="265"/>
      <c r="K108" s="265"/>
      <c r="L108" s="252"/>
      <c r="M108" s="252"/>
      <c r="N108" s="252"/>
    </row>
    <row r="109" spans="1:14" ht="15.6" x14ac:dyDescent="0.6">
      <c r="A109" s="252"/>
      <c r="B109" s="274"/>
      <c r="C109" s="267" t="s">
        <v>1</v>
      </c>
      <c r="D109" s="261" t="s">
        <v>99</v>
      </c>
      <c r="E109" s="268"/>
      <c r="F109" s="268"/>
      <c r="G109" s="259"/>
      <c r="H109" s="259"/>
      <c r="I109" s="266">
        <v>0</v>
      </c>
      <c r="J109" s="179">
        <f t="shared" ref="J109:J112" si="18">I109/$D$5</f>
        <v>0</v>
      </c>
      <c r="K109" s="266">
        <f t="shared" ref="K109:K112" si="19">I109/$D$4</f>
        <v>0</v>
      </c>
      <c r="L109" s="252"/>
      <c r="M109" s="252"/>
      <c r="N109" s="252"/>
    </row>
    <row r="110" spans="1:14" ht="15.6" x14ac:dyDescent="0.6">
      <c r="A110" s="252"/>
      <c r="B110" s="274"/>
      <c r="C110" s="267" t="s">
        <v>133</v>
      </c>
      <c r="D110" s="261" t="s">
        <v>134</v>
      </c>
      <c r="E110" s="268"/>
      <c r="F110" s="268"/>
      <c r="G110" s="259"/>
      <c r="H110" s="259"/>
      <c r="I110" s="266">
        <v>0</v>
      </c>
      <c r="J110" s="179">
        <f t="shared" si="18"/>
        <v>0</v>
      </c>
      <c r="K110" s="266">
        <f t="shared" si="19"/>
        <v>0</v>
      </c>
      <c r="L110" s="252"/>
      <c r="M110" s="252"/>
      <c r="N110" s="252"/>
    </row>
    <row r="111" spans="1:14" ht="15.6" x14ac:dyDescent="0.6">
      <c r="A111" s="252"/>
      <c r="B111" s="274"/>
      <c r="C111" s="267" t="s">
        <v>2</v>
      </c>
      <c r="D111" s="261">
        <f>D$25</f>
        <v>12</v>
      </c>
      <c r="E111" s="268" t="s">
        <v>57</v>
      </c>
      <c r="F111" s="269">
        <f>F$25</f>
        <v>800</v>
      </c>
      <c r="G111" s="259" t="s">
        <v>58</v>
      </c>
      <c r="H111" s="259"/>
      <c r="I111" s="272">
        <f>CEILING(-D111*F111,10)</f>
        <v>-9600</v>
      </c>
      <c r="J111" s="271">
        <f t="shared" si="18"/>
        <v>-1.6</v>
      </c>
      <c r="K111" s="272">
        <f t="shared" si="19"/>
        <v>-9.6</v>
      </c>
      <c r="L111" s="252"/>
      <c r="M111" s="252"/>
      <c r="N111" s="252"/>
    </row>
    <row r="112" spans="1:14" ht="15.6" x14ac:dyDescent="0.6">
      <c r="A112" s="252"/>
      <c r="B112" s="66"/>
      <c r="C112" s="273"/>
      <c r="D112" s="273"/>
      <c r="E112" s="273"/>
      <c r="F112" s="273"/>
      <c r="G112" s="273"/>
      <c r="H112" s="273"/>
      <c r="I112" s="266">
        <f>SUM(I109:I111)</f>
        <v>-9600</v>
      </c>
      <c r="J112" s="179">
        <f t="shared" si="18"/>
        <v>-1.6</v>
      </c>
      <c r="K112" s="266">
        <f t="shared" si="19"/>
        <v>-9.6</v>
      </c>
      <c r="L112" s="252"/>
      <c r="M112" s="252"/>
      <c r="N112" s="252"/>
    </row>
    <row r="113" spans="1:14" ht="15.6" x14ac:dyDescent="0.6">
      <c r="A113" s="252"/>
      <c r="B113" s="275" t="s">
        <v>0</v>
      </c>
      <c r="C113" s="257"/>
      <c r="D113" s="257"/>
      <c r="E113" s="257"/>
      <c r="F113" s="257"/>
      <c r="G113" s="257"/>
      <c r="H113" s="257"/>
      <c r="I113" s="276">
        <f>I94+I107+I112</f>
        <v>607064.73750000005</v>
      </c>
      <c r="J113" s="277">
        <f>J94+J107+J112</f>
        <v>101.17745625000001</v>
      </c>
      <c r="K113" s="278">
        <f>K94+K107+K112</f>
        <v>607.06473749999998</v>
      </c>
      <c r="L113" s="252"/>
      <c r="M113" s="252"/>
      <c r="N113" s="252"/>
    </row>
    <row r="114" spans="1:14" ht="15.6" x14ac:dyDescent="0.6">
      <c r="A114" s="252"/>
      <c r="B114" s="66" t="s">
        <v>23</v>
      </c>
      <c r="C114" s="259"/>
      <c r="D114" s="259"/>
      <c r="E114" s="259"/>
      <c r="F114" s="259"/>
      <c r="G114" s="259"/>
      <c r="H114" s="259"/>
      <c r="I114" s="198" t="s">
        <v>48</v>
      </c>
      <c r="J114" s="198" t="s">
        <v>49</v>
      </c>
      <c r="K114" s="198" t="s">
        <v>50</v>
      </c>
      <c r="L114" s="252"/>
      <c r="M114" s="252"/>
      <c r="N114" s="252"/>
    </row>
    <row r="115" spans="1:14" ht="15.6" x14ac:dyDescent="0.6">
      <c r="A115" s="252"/>
      <c r="B115" s="260" t="s">
        <v>3</v>
      </c>
      <c r="C115" s="259"/>
      <c r="D115" s="259"/>
      <c r="E115" s="259"/>
      <c r="F115" s="259"/>
      <c r="G115" s="259"/>
      <c r="L115" s="252"/>
      <c r="M115" s="252"/>
      <c r="N115" s="252"/>
    </row>
    <row r="116" spans="1:14" ht="15.6" x14ac:dyDescent="0.6">
      <c r="A116" s="252"/>
      <c r="B116" s="260"/>
      <c r="C116" s="259" t="s">
        <v>224</v>
      </c>
      <c r="D116" s="261">
        <f>D$15</f>
        <v>10185</v>
      </c>
      <c r="E116" s="262" t="s">
        <v>57</v>
      </c>
      <c r="F116" s="263">
        <f>F$30</f>
        <v>3.5</v>
      </c>
      <c r="G116" s="264" t="s">
        <v>204</v>
      </c>
      <c r="H116" s="259"/>
      <c r="I116" s="265">
        <f>CEILING(D116*F116,10)</f>
        <v>35650</v>
      </c>
      <c r="J116" s="179">
        <f>I116/$D$5</f>
        <v>5.9416666666666664</v>
      </c>
      <c r="K116" s="266">
        <f>I116/$D$4</f>
        <v>35.65</v>
      </c>
      <c r="L116" s="252"/>
      <c r="M116" s="252"/>
      <c r="N116" s="252"/>
    </row>
    <row r="117" spans="1:14" ht="15.6" x14ac:dyDescent="0.6">
      <c r="A117" s="252"/>
      <c r="B117" s="260"/>
      <c r="C117" s="259" t="s">
        <v>135</v>
      </c>
      <c r="D117" s="261">
        <f>D100</f>
        <v>5373</v>
      </c>
      <c r="E117" s="262" t="s">
        <v>57</v>
      </c>
      <c r="F117" s="263">
        <f>F$31</f>
        <v>3.5</v>
      </c>
      <c r="G117" s="264" t="s">
        <v>204</v>
      </c>
      <c r="H117" s="259"/>
      <c r="I117" s="265">
        <f>CEILING(D117*F117,10)</f>
        <v>18810</v>
      </c>
      <c r="J117" s="179">
        <f>I117/$D$5</f>
        <v>3.1349999999999998</v>
      </c>
      <c r="K117" s="266">
        <f>I117/$D$4</f>
        <v>18.809999999999999</v>
      </c>
      <c r="L117" s="252"/>
      <c r="M117" s="252"/>
      <c r="N117" s="252"/>
    </row>
    <row r="118" spans="1:14" ht="15.6" x14ac:dyDescent="0.6">
      <c r="A118" s="252"/>
      <c r="B118" s="260" t="s">
        <v>97</v>
      </c>
      <c r="C118" s="259"/>
      <c r="D118" s="261">
        <f>D116</f>
        <v>10185</v>
      </c>
      <c r="E118" s="262" t="s">
        <v>56</v>
      </c>
      <c r="F118" s="263">
        <f>I118/D118</f>
        <v>5.4806087383406972</v>
      </c>
      <c r="G118" s="264" t="s">
        <v>204</v>
      </c>
      <c r="H118" s="259"/>
      <c r="I118" s="265">
        <f>'Step 3'!G87</f>
        <v>55820</v>
      </c>
      <c r="J118" s="179">
        <f t="shared" ref="J118:J122" si="20">I118/$D$5</f>
        <v>9.3033333333333328</v>
      </c>
      <c r="K118" s="266">
        <f t="shared" ref="K118:K122" si="21">I118/$D$4</f>
        <v>55.82</v>
      </c>
      <c r="L118" s="252"/>
      <c r="M118" s="252"/>
      <c r="N118" s="252"/>
    </row>
    <row r="119" spans="1:14" ht="15.6" x14ac:dyDescent="0.6">
      <c r="A119" s="252"/>
      <c r="B119" s="260" t="s">
        <v>24</v>
      </c>
      <c r="C119" s="259"/>
      <c r="D119" s="261">
        <f>D116</f>
        <v>10185</v>
      </c>
      <c r="E119" s="262" t="str">
        <f>E116</f>
        <v>hd @</v>
      </c>
      <c r="F119" s="263">
        <f>F$33</f>
        <v>6.5</v>
      </c>
      <c r="G119" s="264" t="s">
        <v>204</v>
      </c>
      <c r="H119" s="259"/>
      <c r="I119" s="265">
        <f>CEILING(D119*F119,10)</f>
        <v>66210</v>
      </c>
      <c r="J119" s="179">
        <f t="shared" si="20"/>
        <v>11.035</v>
      </c>
      <c r="K119" s="266">
        <f t="shared" si="21"/>
        <v>66.209999999999994</v>
      </c>
      <c r="L119" s="252"/>
      <c r="M119" s="252"/>
      <c r="N119" s="252"/>
    </row>
    <row r="120" spans="1:14" ht="15.6" x14ac:dyDescent="0.6">
      <c r="A120" s="252"/>
      <c r="B120" s="260" t="s">
        <v>25</v>
      </c>
      <c r="C120" s="259"/>
      <c r="D120" s="279">
        <f>D94*F94/170</f>
        <v>223.34823529411764</v>
      </c>
      <c r="E120" s="262" t="s">
        <v>59</v>
      </c>
      <c r="F120" s="263">
        <f>F$34</f>
        <v>20</v>
      </c>
      <c r="G120" s="264" t="s">
        <v>60</v>
      </c>
      <c r="H120" s="259"/>
      <c r="I120" s="265">
        <f>CEILING(D120*F120,10)</f>
        <v>4470</v>
      </c>
      <c r="J120" s="179">
        <f t="shared" si="20"/>
        <v>0.745</v>
      </c>
      <c r="K120" s="266">
        <f t="shared" si="21"/>
        <v>4.47</v>
      </c>
      <c r="L120" s="252"/>
      <c r="M120" s="252"/>
      <c r="N120" s="252"/>
    </row>
    <row r="121" spans="1:14" ht="15.6" x14ac:dyDescent="0.6">
      <c r="A121" s="252"/>
      <c r="B121" s="260" t="s">
        <v>26</v>
      </c>
      <c r="C121" s="259"/>
      <c r="D121" s="259"/>
      <c r="E121" s="259"/>
      <c r="F121" s="263">
        <f>F$35</f>
        <v>15</v>
      </c>
      <c r="G121" s="264" t="s">
        <v>60</v>
      </c>
      <c r="H121" s="259"/>
      <c r="I121" s="265">
        <f>CEILING(D120*F121,10)</f>
        <v>3360</v>
      </c>
      <c r="J121" s="179">
        <f t="shared" si="20"/>
        <v>0.56000000000000005</v>
      </c>
      <c r="K121" s="266">
        <f t="shared" si="21"/>
        <v>3.36</v>
      </c>
      <c r="L121" s="252"/>
      <c r="M121" s="252"/>
      <c r="N121" s="252"/>
    </row>
    <row r="122" spans="1:14" ht="15.6" x14ac:dyDescent="0.6">
      <c r="A122" s="252"/>
      <c r="B122" s="260" t="s">
        <v>27</v>
      </c>
      <c r="C122" s="259"/>
      <c r="D122" s="261">
        <f>D97+D98+D105+D106+D111</f>
        <v>5046.125</v>
      </c>
      <c r="E122" s="268" t="s">
        <v>57</v>
      </c>
      <c r="F122" s="263">
        <f>F$36</f>
        <v>2</v>
      </c>
      <c r="G122" s="264" t="s">
        <v>61</v>
      </c>
      <c r="H122" s="259"/>
      <c r="I122" s="265">
        <f>CEILING(D122*F122,10)</f>
        <v>10100</v>
      </c>
      <c r="J122" s="179">
        <f t="shared" si="20"/>
        <v>1.6833333333333333</v>
      </c>
      <c r="K122" s="266">
        <f t="shared" si="21"/>
        <v>10.1</v>
      </c>
      <c r="L122" s="252"/>
      <c r="M122" s="252"/>
      <c r="N122" s="252"/>
    </row>
    <row r="123" spans="1:14" ht="15.6" x14ac:dyDescent="0.6">
      <c r="A123" s="252"/>
      <c r="B123" s="275" t="s">
        <v>41</v>
      </c>
      <c r="C123" s="257"/>
      <c r="D123" s="257"/>
      <c r="E123" s="280"/>
      <c r="F123" s="257"/>
      <c r="G123" s="257"/>
      <c r="H123" s="257"/>
      <c r="I123" s="276">
        <f>SUM(I116:I122)</f>
        <v>194420</v>
      </c>
      <c r="J123" s="277">
        <f>SUM(J116:J122)</f>
        <v>32.403333333333329</v>
      </c>
      <c r="K123" s="278">
        <f>SUM(K116:K122)</f>
        <v>194.42000000000002</v>
      </c>
      <c r="L123" s="252"/>
      <c r="M123" s="252"/>
      <c r="N123" s="252"/>
    </row>
    <row r="124" spans="1:14" ht="15.6" x14ac:dyDescent="0.6">
      <c r="A124" s="252"/>
      <c r="B124" s="281" t="s">
        <v>62</v>
      </c>
      <c r="C124" s="257"/>
      <c r="D124" s="257"/>
      <c r="E124" s="280"/>
      <c r="F124" s="257"/>
      <c r="G124" s="257"/>
      <c r="H124" s="257"/>
      <c r="I124" s="276">
        <f>I113-I123</f>
        <v>412644.73750000005</v>
      </c>
      <c r="J124" s="277">
        <f>J113-J123</f>
        <v>68.77412291666667</v>
      </c>
      <c r="K124" s="278">
        <f>K113-K123</f>
        <v>412.64473749999996</v>
      </c>
      <c r="L124" s="252"/>
      <c r="M124" s="252"/>
      <c r="N124" s="252"/>
    </row>
    <row r="125" spans="1:14" ht="15.6" x14ac:dyDescent="0.6">
      <c r="A125" s="252"/>
      <c r="B125" s="282"/>
      <c r="C125" s="255"/>
      <c r="D125" s="255"/>
      <c r="E125" s="255"/>
      <c r="F125" s="255"/>
      <c r="G125" s="255"/>
      <c r="H125" s="255"/>
      <c r="I125" s="255"/>
      <c r="J125" s="255"/>
      <c r="K125" s="255"/>
      <c r="L125" s="252"/>
      <c r="M125" s="252"/>
      <c r="N125" s="252"/>
    </row>
    <row r="126" spans="1:14" ht="18.3" x14ac:dyDescent="0.7">
      <c r="A126" s="252"/>
      <c r="B126" s="253" t="s">
        <v>266</v>
      </c>
      <c r="C126" s="252"/>
      <c r="D126" s="252"/>
      <c r="E126" s="252"/>
      <c r="F126" s="252"/>
      <c r="G126" s="252"/>
      <c r="H126" s="252"/>
      <c r="I126" s="252"/>
      <c r="J126" s="252"/>
      <c r="K126" s="252"/>
      <c r="L126" s="252"/>
      <c r="M126" s="252"/>
      <c r="N126" s="252"/>
    </row>
    <row r="127" spans="1:14" ht="17.7" x14ac:dyDescent="0.6">
      <c r="A127" s="252"/>
      <c r="B127" s="256"/>
      <c r="C127" s="257"/>
      <c r="D127" s="257"/>
      <c r="E127" s="257"/>
      <c r="F127" s="257"/>
      <c r="G127" s="257"/>
      <c r="H127" s="257"/>
      <c r="I127" s="258" t="s">
        <v>46</v>
      </c>
      <c r="J127" s="258" t="s">
        <v>78</v>
      </c>
      <c r="K127" s="258" t="s">
        <v>87</v>
      </c>
      <c r="L127" s="252"/>
      <c r="M127" s="252"/>
      <c r="N127" s="252"/>
    </row>
    <row r="128" spans="1:14" ht="15.6" x14ac:dyDescent="0.6">
      <c r="A128" s="252"/>
      <c r="B128" s="66" t="s">
        <v>18</v>
      </c>
      <c r="C128" s="259"/>
      <c r="D128" s="259"/>
      <c r="E128" s="259"/>
      <c r="F128" s="259"/>
      <c r="G128" s="259"/>
      <c r="H128" s="259"/>
      <c r="I128" s="198" t="s">
        <v>48</v>
      </c>
      <c r="J128" s="198" t="s">
        <v>49</v>
      </c>
      <c r="K128" s="198" t="s">
        <v>50</v>
      </c>
      <c r="L128" s="252"/>
      <c r="M128" s="252"/>
      <c r="N128" s="252"/>
    </row>
    <row r="129" spans="1:14" ht="15.6" x14ac:dyDescent="0.6">
      <c r="A129" s="252"/>
      <c r="B129" s="260" t="s">
        <v>4</v>
      </c>
      <c r="C129" s="259"/>
      <c r="D129" s="261">
        <f>$D$11</f>
        <v>6000</v>
      </c>
      <c r="E129" s="288" t="s">
        <v>212</v>
      </c>
      <c r="F129" s="348">
        <f>K45</f>
        <v>6.36</v>
      </c>
      <c r="G129" s="263">
        <f>L45</f>
        <v>9</v>
      </c>
      <c r="H129" s="264" t="s">
        <v>47</v>
      </c>
      <c r="I129" s="265">
        <f>CEILING(D129*F129*G129,10)</f>
        <v>343440</v>
      </c>
      <c r="J129" s="179">
        <f>I129/$D$5</f>
        <v>57.24</v>
      </c>
      <c r="K129" s="266">
        <f>I129/$D$4</f>
        <v>343.44</v>
      </c>
      <c r="L129" s="252"/>
      <c r="M129" s="252"/>
      <c r="N129" s="252"/>
    </row>
    <row r="130" spans="1:14" ht="15.6" x14ac:dyDescent="0.6">
      <c r="A130" s="252"/>
      <c r="B130" s="260"/>
      <c r="C130" s="259"/>
      <c r="D130" s="261"/>
      <c r="E130" s="314" t="s">
        <v>214</v>
      </c>
      <c r="F130" s="289"/>
      <c r="G130" s="263"/>
      <c r="H130" s="264"/>
      <c r="I130" s="265"/>
      <c r="J130" s="179"/>
      <c r="K130" s="266"/>
      <c r="L130" s="252"/>
      <c r="M130" s="252"/>
      <c r="N130" s="252"/>
    </row>
    <row r="131" spans="1:14" ht="15.6" x14ac:dyDescent="0.6">
      <c r="A131" s="252"/>
      <c r="B131" s="260" t="s">
        <v>22</v>
      </c>
      <c r="C131" s="259"/>
      <c r="D131" s="261"/>
      <c r="E131" s="327" t="s">
        <v>225</v>
      </c>
      <c r="F131" s="259"/>
      <c r="G131" s="259"/>
      <c r="H131" s="259"/>
      <c r="I131" s="265"/>
      <c r="J131" s="265"/>
      <c r="K131" s="265"/>
      <c r="L131" s="252"/>
      <c r="M131" s="252"/>
      <c r="N131" s="252"/>
    </row>
    <row r="132" spans="1:14" ht="15.6" x14ac:dyDescent="0.6">
      <c r="A132" s="252"/>
      <c r="B132" s="66"/>
      <c r="C132" s="267" t="s">
        <v>19</v>
      </c>
      <c r="D132" s="261">
        <f>D$17+D$11*'Step 3'!G141</f>
        <v>900</v>
      </c>
      <c r="E132" s="328">
        <f>-(D$17-D132)/D$17</f>
        <v>0</v>
      </c>
      <c r="F132" s="346">
        <f>G45</f>
        <v>40</v>
      </c>
      <c r="G132" s="259" t="s">
        <v>55</v>
      </c>
      <c r="H132" s="252"/>
      <c r="I132" s="265">
        <f>CEILING(D132*F132,10)</f>
        <v>36000</v>
      </c>
      <c r="J132" s="179">
        <f t="shared" ref="J132:J133" si="22">I132/$D$5</f>
        <v>6</v>
      </c>
      <c r="K132" s="266">
        <f t="shared" ref="K132:K133" si="23">I132/$D$4</f>
        <v>36</v>
      </c>
      <c r="L132" s="252"/>
      <c r="M132" s="252"/>
      <c r="N132" s="252"/>
    </row>
    <row r="133" spans="1:14" ht="15.6" x14ac:dyDescent="0.6">
      <c r="A133" s="252"/>
      <c r="B133" s="66"/>
      <c r="C133" s="267" t="s">
        <v>215</v>
      </c>
      <c r="D133" s="261">
        <f>D$18+D$12*'Step 3'!G141</f>
        <v>375</v>
      </c>
      <c r="E133" s="328">
        <f>-(D$18-D133)/D$18</f>
        <v>0</v>
      </c>
      <c r="F133" s="346">
        <f>H45</f>
        <v>40</v>
      </c>
      <c r="G133" s="259" t="s">
        <v>55</v>
      </c>
      <c r="H133" s="252"/>
      <c r="I133" s="265">
        <f>CEILING(D133*F133,10)</f>
        <v>15000</v>
      </c>
      <c r="J133" s="179">
        <f t="shared" si="22"/>
        <v>2.5</v>
      </c>
      <c r="K133" s="266">
        <f t="shared" si="23"/>
        <v>15</v>
      </c>
      <c r="L133" s="252"/>
      <c r="M133" s="252"/>
      <c r="N133" s="252"/>
    </row>
    <row r="134" spans="1:14" ht="15.6" x14ac:dyDescent="0.6">
      <c r="A134" s="252"/>
      <c r="B134" s="66"/>
      <c r="C134" s="267" t="s">
        <v>20</v>
      </c>
      <c r="D134" s="261"/>
      <c r="E134" s="326"/>
      <c r="F134" s="252"/>
      <c r="G134" s="252"/>
      <c r="H134" s="252"/>
      <c r="I134" s="127"/>
      <c r="J134" s="127"/>
      <c r="K134" s="127"/>
      <c r="L134" s="252"/>
      <c r="M134" s="252"/>
      <c r="N134" s="252"/>
    </row>
    <row r="135" spans="1:14" ht="15.6" x14ac:dyDescent="0.6">
      <c r="A135" s="252"/>
      <c r="B135" s="66"/>
      <c r="C135" s="273" t="s">
        <v>216</v>
      </c>
      <c r="D135" s="261">
        <f>D$59*D45</f>
        <v>5400</v>
      </c>
      <c r="E135" s="326"/>
      <c r="F135" s="269"/>
      <c r="G135" s="259"/>
      <c r="H135" s="252"/>
      <c r="I135" s="265"/>
      <c r="J135" s="179"/>
      <c r="K135" s="266"/>
      <c r="L135" s="252"/>
      <c r="M135" s="252"/>
      <c r="N135" s="252"/>
    </row>
    <row r="136" spans="1:14" ht="15.6" x14ac:dyDescent="0.6">
      <c r="A136" s="252"/>
      <c r="B136" s="66"/>
      <c r="C136" s="273" t="s">
        <v>98</v>
      </c>
      <c r="D136" s="261">
        <f>-D$11*E45</f>
        <v>-300</v>
      </c>
      <c r="E136" s="326"/>
      <c r="F136" s="269"/>
      <c r="G136" s="259"/>
      <c r="H136" s="252"/>
      <c r="I136" s="265"/>
      <c r="J136" s="179"/>
      <c r="K136" s="266"/>
      <c r="L136" s="252"/>
      <c r="M136" s="252"/>
      <c r="N136" s="252"/>
    </row>
    <row r="137" spans="1:14" ht="15.6" x14ac:dyDescent="0.6">
      <c r="A137" s="252"/>
      <c r="B137" s="66"/>
      <c r="C137" s="273" t="s">
        <v>222</v>
      </c>
      <c r="D137" s="261">
        <f>-D132</f>
        <v>-900</v>
      </c>
      <c r="E137" s="326"/>
      <c r="F137" s="269"/>
      <c r="G137" s="259"/>
      <c r="H137" s="252"/>
      <c r="I137" s="265"/>
      <c r="J137" s="179"/>
      <c r="K137" s="266"/>
      <c r="L137" s="252"/>
      <c r="M137" s="252"/>
      <c r="N137" s="252"/>
    </row>
    <row r="138" spans="1:14" ht="15.6" x14ac:dyDescent="0.6">
      <c r="A138" s="252"/>
      <c r="B138" s="66"/>
      <c r="C138" s="273" t="s">
        <v>210</v>
      </c>
      <c r="D138" s="261">
        <f>-D$12*F45</f>
        <v>-50</v>
      </c>
      <c r="E138" s="326"/>
      <c r="F138" s="269"/>
      <c r="G138" s="259"/>
      <c r="H138" s="252"/>
      <c r="I138" s="265"/>
      <c r="J138" s="179"/>
      <c r="K138" s="266"/>
      <c r="L138" s="252"/>
      <c r="M138" s="252"/>
      <c r="N138" s="252"/>
    </row>
    <row r="139" spans="1:14" ht="15.6" x14ac:dyDescent="0.6">
      <c r="A139" s="252"/>
      <c r="B139" s="66"/>
      <c r="C139" s="273" t="s">
        <v>217</v>
      </c>
      <c r="D139" s="285">
        <f>-D133</f>
        <v>-375</v>
      </c>
      <c r="E139" s="326"/>
      <c r="F139" s="269"/>
      <c r="G139" s="259"/>
      <c r="H139" s="252"/>
      <c r="I139" s="265"/>
      <c r="J139" s="179"/>
      <c r="K139" s="266"/>
      <c r="L139" s="252"/>
      <c r="M139" s="252"/>
      <c r="N139" s="252"/>
    </row>
    <row r="140" spans="1:14" ht="15.6" x14ac:dyDescent="0.6">
      <c r="A140" s="252"/>
      <c r="B140" s="66"/>
      <c r="C140" s="267"/>
      <c r="D140" s="261">
        <f>SUM(D135:D139)</f>
        <v>3775</v>
      </c>
      <c r="E140" s="329">
        <f>-(D$19-D140)/D$19</f>
        <v>0</v>
      </c>
      <c r="F140" s="263">
        <f>I45</f>
        <v>60</v>
      </c>
      <c r="G140" s="259" t="s">
        <v>55</v>
      </c>
      <c r="H140" s="252"/>
      <c r="I140" s="265">
        <f>D140*F140</f>
        <v>226500</v>
      </c>
      <c r="J140" s="179">
        <f>I140/$D$5</f>
        <v>37.75</v>
      </c>
      <c r="K140" s="266">
        <f>I140/$D$4</f>
        <v>226.5</v>
      </c>
      <c r="L140" s="252"/>
      <c r="M140" s="252"/>
      <c r="N140" s="252"/>
    </row>
    <row r="141" spans="1:14" ht="15.6" x14ac:dyDescent="0.6">
      <c r="A141" s="252"/>
      <c r="B141" s="66"/>
      <c r="C141" s="267" t="s">
        <v>21</v>
      </c>
      <c r="D141" s="261">
        <f>D$25</f>
        <v>12</v>
      </c>
      <c r="E141" s="268" t="s">
        <v>57</v>
      </c>
      <c r="F141" s="263">
        <f>J45</f>
        <v>40</v>
      </c>
      <c r="G141" s="259" t="s">
        <v>55</v>
      </c>
      <c r="H141" s="252"/>
      <c r="I141" s="270">
        <f>CEILING(D141*F141,10)</f>
        <v>480</v>
      </c>
      <c r="J141" s="271">
        <f t="shared" ref="J141" si="24">I141/$D$5</f>
        <v>0.08</v>
      </c>
      <c r="K141" s="272">
        <f t="shared" ref="K141:K142" si="25">I141/$D$4</f>
        <v>0.48</v>
      </c>
      <c r="L141" s="252"/>
      <c r="M141" s="252"/>
      <c r="N141" s="252"/>
    </row>
    <row r="142" spans="1:14" ht="15.6" x14ac:dyDescent="0.6">
      <c r="A142" s="252"/>
      <c r="B142" s="66"/>
      <c r="C142" s="267"/>
      <c r="D142" s="267"/>
      <c r="E142" s="268"/>
      <c r="F142" s="268"/>
      <c r="G142" s="259"/>
      <c r="H142" s="259"/>
      <c r="I142" s="265">
        <f>SUM(I132:I141)</f>
        <v>277980</v>
      </c>
      <c r="J142" s="179">
        <f>I142/$D$5</f>
        <v>46.33</v>
      </c>
      <c r="K142" s="266">
        <f t="shared" si="25"/>
        <v>277.98</v>
      </c>
      <c r="L142" s="252"/>
      <c r="M142" s="252"/>
      <c r="N142" s="252"/>
    </row>
    <row r="143" spans="1:14" ht="15.6" x14ac:dyDescent="0.6">
      <c r="A143" s="252"/>
      <c r="B143" s="260" t="s">
        <v>28</v>
      </c>
      <c r="C143" s="273"/>
      <c r="D143" s="273"/>
      <c r="E143" s="268"/>
      <c r="F143" s="268"/>
      <c r="G143" s="259"/>
      <c r="H143" s="259"/>
      <c r="I143" s="265"/>
      <c r="J143" s="265"/>
      <c r="K143" s="265"/>
      <c r="L143" s="252"/>
      <c r="M143" s="252"/>
      <c r="N143" s="252"/>
    </row>
    <row r="144" spans="1:14" ht="15.6" x14ac:dyDescent="0.6">
      <c r="A144" s="252"/>
      <c r="B144" s="274"/>
      <c r="C144" s="267" t="s">
        <v>1</v>
      </c>
      <c r="D144" s="261" t="s">
        <v>99</v>
      </c>
      <c r="E144" s="268"/>
      <c r="F144" s="268"/>
      <c r="G144" s="259"/>
      <c r="H144" s="259"/>
      <c r="I144" s="266">
        <v>0</v>
      </c>
      <c r="J144" s="179">
        <f t="shared" ref="J144:J147" si="26">I144/$D$5</f>
        <v>0</v>
      </c>
      <c r="K144" s="266">
        <f t="shared" ref="K144:K147" si="27">I144/$D$4</f>
        <v>0</v>
      </c>
      <c r="L144" s="252"/>
      <c r="M144" s="252"/>
      <c r="N144" s="252"/>
    </row>
    <row r="145" spans="1:14" ht="15.6" x14ac:dyDescent="0.6">
      <c r="A145" s="252"/>
      <c r="B145" s="274"/>
      <c r="C145" s="267" t="s">
        <v>133</v>
      </c>
      <c r="D145" s="261" t="s">
        <v>134</v>
      </c>
      <c r="E145" s="268"/>
      <c r="F145" s="268"/>
      <c r="G145" s="259"/>
      <c r="H145" s="259"/>
      <c r="I145" s="266">
        <v>0</v>
      </c>
      <c r="J145" s="179">
        <f t="shared" si="26"/>
        <v>0</v>
      </c>
      <c r="K145" s="266">
        <f t="shared" si="27"/>
        <v>0</v>
      </c>
      <c r="L145" s="252"/>
      <c r="M145" s="252"/>
      <c r="N145" s="252"/>
    </row>
    <row r="146" spans="1:14" ht="15.6" x14ac:dyDescent="0.6">
      <c r="A146" s="252"/>
      <c r="B146" s="274"/>
      <c r="C146" s="267" t="s">
        <v>2</v>
      </c>
      <c r="D146" s="261">
        <f>D$25</f>
        <v>12</v>
      </c>
      <c r="E146" s="268" t="s">
        <v>57</v>
      </c>
      <c r="F146" s="269">
        <f>F$25</f>
        <v>800</v>
      </c>
      <c r="G146" s="259" t="s">
        <v>58</v>
      </c>
      <c r="H146" s="259"/>
      <c r="I146" s="272">
        <f>CEILING(-D146*F146,10)</f>
        <v>-9600</v>
      </c>
      <c r="J146" s="271">
        <f t="shared" si="26"/>
        <v>-1.6</v>
      </c>
      <c r="K146" s="272">
        <f t="shared" si="27"/>
        <v>-9.6</v>
      </c>
      <c r="L146" s="252"/>
      <c r="M146" s="252"/>
      <c r="N146" s="252"/>
    </row>
    <row r="147" spans="1:14" ht="15.6" x14ac:dyDescent="0.6">
      <c r="A147" s="252"/>
      <c r="B147" s="66"/>
      <c r="C147" s="273"/>
      <c r="D147" s="273"/>
      <c r="E147" s="273"/>
      <c r="F147" s="273"/>
      <c r="G147" s="273"/>
      <c r="H147" s="273"/>
      <c r="I147" s="266">
        <f>SUM(I144:I146)</f>
        <v>-9600</v>
      </c>
      <c r="J147" s="179">
        <f t="shared" si="26"/>
        <v>-1.6</v>
      </c>
      <c r="K147" s="266">
        <f t="shared" si="27"/>
        <v>-9.6</v>
      </c>
      <c r="L147" s="252"/>
      <c r="M147" s="252"/>
      <c r="N147" s="252"/>
    </row>
    <row r="148" spans="1:14" ht="15.6" x14ac:dyDescent="0.6">
      <c r="A148" s="252"/>
      <c r="B148" s="275" t="s">
        <v>0</v>
      </c>
      <c r="C148" s="257"/>
      <c r="D148" s="257"/>
      <c r="E148" s="257"/>
      <c r="F148" s="257"/>
      <c r="G148" s="257"/>
      <c r="H148" s="257"/>
      <c r="I148" s="276">
        <f>I129+I142+I147</f>
        <v>611820</v>
      </c>
      <c r="J148" s="277">
        <f>J129+J142+J147</f>
        <v>101.97</v>
      </c>
      <c r="K148" s="278">
        <f>K129+K142+K147</f>
        <v>611.82000000000005</v>
      </c>
      <c r="L148" s="252"/>
      <c r="M148" s="252"/>
      <c r="N148" s="252"/>
    </row>
    <row r="149" spans="1:14" ht="15.6" x14ac:dyDescent="0.6">
      <c r="A149" s="252"/>
      <c r="B149" s="66" t="s">
        <v>23</v>
      </c>
      <c r="C149" s="259"/>
      <c r="D149" s="259"/>
      <c r="E149" s="259"/>
      <c r="F149" s="259"/>
      <c r="G149" s="259"/>
      <c r="H149" s="259"/>
      <c r="I149" s="198" t="s">
        <v>48</v>
      </c>
      <c r="J149" s="198" t="s">
        <v>49</v>
      </c>
      <c r="K149" s="198" t="s">
        <v>50</v>
      </c>
      <c r="L149" s="252"/>
      <c r="M149" s="252"/>
      <c r="N149" s="252"/>
    </row>
    <row r="150" spans="1:14" ht="15.6" x14ac:dyDescent="0.6">
      <c r="A150" s="252"/>
      <c r="B150" s="260" t="s">
        <v>3</v>
      </c>
      <c r="C150" s="259"/>
      <c r="D150" s="259"/>
      <c r="E150" s="259"/>
      <c r="F150" s="259"/>
      <c r="G150" s="259"/>
      <c r="L150" s="252"/>
      <c r="M150" s="252"/>
      <c r="N150" s="252"/>
    </row>
    <row r="151" spans="1:14" ht="15.6" x14ac:dyDescent="0.6">
      <c r="A151" s="252"/>
      <c r="B151" s="260"/>
      <c r="C151" s="259" t="s">
        <v>224</v>
      </c>
      <c r="D151" s="261">
        <f>D$15</f>
        <v>10185</v>
      </c>
      <c r="E151" s="262" t="s">
        <v>57</v>
      </c>
      <c r="F151" s="263">
        <f>F$30</f>
        <v>3.5</v>
      </c>
      <c r="G151" s="264" t="s">
        <v>204</v>
      </c>
      <c r="H151" s="259"/>
      <c r="I151" s="265">
        <f>CEILING(D151*F151,10)</f>
        <v>35650</v>
      </c>
      <c r="J151" s="179">
        <f>I151/$D$5</f>
        <v>5.9416666666666664</v>
      </c>
      <c r="K151" s="266">
        <f>I151/$D$4</f>
        <v>35.65</v>
      </c>
      <c r="L151" s="252"/>
      <c r="M151" s="252"/>
      <c r="N151" s="252"/>
    </row>
    <row r="152" spans="1:14" ht="15.6" x14ac:dyDescent="0.6">
      <c r="A152" s="252"/>
      <c r="B152" s="260"/>
      <c r="C152" s="259" t="s">
        <v>135</v>
      </c>
      <c r="D152" s="261">
        <f>D135</f>
        <v>5400</v>
      </c>
      <c r="E152" s="262" t="s">
        <v>57</v>
      </c>
      <c r="F152" s="263">
        <f>F$31</f>
        <v>3.5</v>
      </c>
      <c r="G152" s="264" t="s">
        <v>204</v>
      </c>
      <c r="H152" s="259"/>
      <c r="I152" s="265">
        <f>CEILING(D152*F152,10)</f>
        <v>18900</v>
      </c>
      <c r="J152" s="179">
        <f>I152/$D$5</f>
        <v>3.15</v>
      </c>
      <c r="K152" s="266">
        <f>I152/$D$4</f>
        <v>18.899999999999999</v>
      </c>
      <c r="L152" s="252"/>
      <c r="M152" s="252"/>
      <c r="N152" s="252"/>
    </row>
    <row r="153" spans="1:14" ht="15.6" x14ac:dyDescent="0.6">
      <c r="A153" s="252"/>
      <c r="B153" s="260" t="s">
        <v>97</v>
      </c>
      <c r="C153" s="259"/>
      <c r="D153" s="261">
        <f>D151</f>
        <v>10185</v>
      </c>
      <c r="E153" s="262" t="s">
        <v>57</v>
      </c>
      <c r="F153" s="263">
        <f>I153/D153</f>
        <v>0</v>
      </c>
      <c r="G153" s="264" t="s">
        <v>204</v>
      </c>
      <c r="H153" s="259"/>
      <c r="I153" s="265">
        <f>'Step 3'!G88</f>
        <v>0</v>
      </c>
      <c r="J153" s="179">
        <f t="shared" ref="J153:J157" si="28">I153/$D$5</f>
        <v>0</v>
      </c>
      <c r="K153" s="266">
        <f t="shared" ref="K153:K157" si="29">I153/$D$4</f>
        <v>0</v>
      </c>
      <c r="L153" s="252"/>
      <c r="M153" s="252"/>
      <c r="N153" s="252"/>
    </row>
    <row r="154" spans="1:14" ht="15.6" x14ac:dyDescent="0.6">
      <c r="A154" s="252"/>
      <c r="B154" s="260" t="s">
        <v>24</v>
      </c>
      <c r="C154" s="259"/>
      <c r="D154" s="261">
        <f>D151</f>
        <v>10185</v>
      </c>
      <c r="E154" s="262" t="str">
        <f>E151</f>
        <v>hd @</v>
      </c>
      <c r="F154" s="263">
        <f>F$33</f>
        <v>6.5</v>
      </c>
      <c r="G154" s="264" t="s">
        <v>204</v>
      </c>
      <c r="H154" s="259"/>
      <c r="I154" s="265">
        <f>CEILING(D154*F154,10)</f>
        <v>66210</v>
      </c>
      <c r="J154" s="179">
        <f t="shared" si="28"/>
        <v>11.035</v>
      </c>
      <c r="K154" s="266">
        <f t="shared" si="29"/>
        <v>66.209999999999994</v>
      </c>
      <c r="L154" s="252"/>
      <c r="M154" s="252"/>
      <c r="N154" s="252"/>
    </row>
    <row r="155" spans="1:14" ht="15.6" x14ac:dyDescent="0.6">
      <c r="A155" s="252"/>
      <c r="B155" s="260" t="s">
        <v>25</v>
      </c>
      <c r="C155" s="259"/>
      <c r="D155" s="279">
        <f>D129*F129/170</f>
        <v>224.47058823529412</v>
      </c>
      <c r="E155" s="262" t="s">
        <v>59</v>
      </c>
      <c r="F155" s="263">
        <f>F$34</f>
        <v>20</v>
      </c>
      <c r="G155" s="264" t="s">
        <v>60</v>
      </c>
      <c r="H155" s="259"/>
      <c r="I155" s="265">
        <f>CEILING(D155*F155,10)</f>
        <v>4490</v>
      </c>
      <c r="J155" s="179">
        <f t="shared" si="28"/>
        <v>0.74833333333333329</v>
      </c>
      <c r="K155" s="266">
        <f t="shared" si="29"/>
        <v>4.49</v>
      </c>
      <c r="L155" s="252"/>
      <c r="M155" s="252"/>
      <c r="N155" s="252"/>
    </row>
    <row r="156" spans="1:14" ht="15.6" x14ac:dyDescent="0.6">
      <c r="A156" s="252"/>
      <c r="B156" s="260" t="s">
        <v>26</v>
      </c>
      <c r="C156" s="259"/>
      <c r="D156" s="259"/>
      <c r="E156" s="259"/>
      <c r="F156" s="263">
        <f>F$35</f>
        <v>15</v>
      </c>
      <c r="G156" s="264" t="s">
        <v>60</v>
      </c>
      <c r="H156" s="259"/>
      <c r="I156" s="265">
        <f>CEILING(D155*F156,10)</f>
        <v>3370</v>
      </c>
      <c r="J156" s="179">
        <f t="shared" si="28"/>
        <v>0.56166666666666665</v>
      </c>
      <c r="K156" s="266">
        <f t="shared" si="29"/>
        <v>3.37</v>
      </c>
      <c r="L156" s="252"/>
      <c r="M156" s="252"/>
      <c r="N156" s="252"/>
    </row>
    <row r="157" spans="1:14" ht="15.6" x14ac:dyDescent="0.6">
      <c r="A157" s="252"/>
      <c r="B157" s="260" t="s">
        <v>27</v>
      </c>
      <c r="C157" s="259"/>
      <c r="D157" s="261">
        <f>D132+D133+D140+D141+D146</f>
        <v>5074</v>
      </c>
      <c r="E157" s="268" t="s">
        <v>57</v>
      </c>
      <c r="F157" s="263">
        <f>F$36</f>
        <v>2</v>
      </c>
      <c r="G157" s="264" t="s">
        <v>61</v>
      </c>
      <c r="H157" s="259"/>
      <c r="I157" s="265">
        <f>CEILING(D157*F157,10)</f>
        <v>10150</v>
      </c>
      <c r="J157" s="179">
        <f t="shared" si="28"/>
        <v>1.6916666666666667</v>
      </c>
      <c r="K157" s="266">
        <f t="shared" si="29"/>
        <v>10.15</v>
      </c>
      <c r="L157" s="252"/>
      <c r="M157" s="252"/>
      <c r="N157" s="252"/>
    </row>
    <row r="158" spans="1:14" ht="15.6" x14ac:dyDescent="0.6">
      <c r="A158" s="252"/>
      <c r="B158" s="275" t="s">
        <v>41</v>
      </c>
      <c r="C158" s="257"/>
      <c r="D158" s="257"/>
      <c r="E158" s="280"/>
      <c r="F158" s="257"/>
      <c r="G158" s="257"/>
      <c r="H158" s="257"/>
      <c r="I158" s="276">
        <f>SUM(I151:I157)</f>
        <v>138770</v>
      </c>
      <c r="J158" s="277">
        <f>SUM(J151:J157)</f>
        <v>23.128333333333334</v>
      </c>
      <c r="K158" s="278">
        <f>SUM(K151:K157)</f>
        <v>138.76999999999998</v>
      </c>
      <c r="L158" s="252"/>
      <c r="M158" s="252"/>
      <c r="N158" s="252"/>
    </row>
    <row r="159" spans="1:14" ht="15.6" x14ac:dyDescent="0.6">
      <c r="A159" s="252"/>
      <c r="B159" s="281" t="s">
        <v>62</v>
      </c>
      <c r="C159" s="257"/>
      <c r="D159" s="257"/>
      <c r="E159" s="280"/>
      <c r="F159" s="257"/>
      <c r="G159" s="257"/>
      <c r="H159" s="257"/>
      <c r="I159" s="276">
        <f>I148-I158</f>
        <v>473050</v>
      </c>
      <c r="J159" s="277">
        <f>J148-J158</f>
        <v>78.841666666666669</v>
      </c>
      <c r="K159" s="278">
        <f>K148-K158</f>
        <v>473.05000000000007</v>
      </c>
      <c r="L159" s="252"/>
      <c r="M159" s="252"/>
      <c r="N159" s="252"/>
    </row>
    <row r="160" spans="1:14" ht="15.6" x14ac:dyDescent="0.6">
      <c r="A160" s="252"/>
      <c r="B160" s="282" t="s">
        <v>223</v>
      </c>
      <c r="C160" s="255"/>
      <c r="D160" s="255"/>
      <c r="E160" s="255"/>
      <c r="F160" s="255"/>
      <c r="G160" s="255"/>
      <c r="H160" s="255"/>
      <c r="I160" s="255"/>
      <c r="J160" s="255"/>
      <c r="K160" s="255"/>
      <c r="L160" s="252"/>
      <c r="M160" s="252"/>
      <c r="N160" s="252"/>
    </row>
    <row r="161" spans="1:14" ht="18.3" x14ac:dyDescent="0.7">
      <c r="A161" s="252"/>
      <c r="B161" s="253" t="s">
        <v>267</v>
      </c>
      <c r="C161" s="252"/>
      <c r="D161" s="252"/>
      <c r="E161" s="252"/>
      <c r="F161" s="252"/>
      <c r="G161" s="252"/>
      <c r="H161" s="252"/>
      <c r="I161" s="252"/>
      <c r="J161" s="252"/>
      <c r="K161" s="252"/>
      <c r="L161" s="252"/>
      <c r="M161" s="252"/>
      <c r="N161" s="252"/>
    </row>
    <row r="162" spans="1:14" ht="17.7" x14ac:dyDescent="0.6">
      <c r="A162" s="252"/>
      <c r="B162" s="256"/>
      <c r="C162" s="257"/>
      <c r="D162" s="257"/>
      <c r="E162" s="257"/>
      <c r="F162" s="257"/>
      <c r="G162" s="257"/>
      <c r="H162" s="257"/>
      <c r="I162" s="258" t="s">
        <v>46</v>
      </c>
      <c r="J162" s="258" t="s">
        <v>78</v>
      </c>
      <c r="K162" s="258" t="s">
        <v>87</v>
      </c>
      <c r="L162" s="252"/>
      <c r="M162" s="252"/>
      <c r="N162" s="252"/>
    </row>
    <row r="163" spans="1:14" ht="15.6" x14ac:dyDescent="0.6">
      <c r="A163" s="252"/>
      <c r="B163" s="66" t="s">
        <v>18</v>
      </c>
      <c r="C163" s="259"/>
      <c r="D163" s="259"/>
      <c r="E163" s="259"/>
      <c r="F163" s="259"/>
      <c r="G163" s="259"/>
      <c r="H163" s="259"/>
      <c r="I163" s="198" t="s">
        <v>48</v>
      </c>
      <c r="J163" s="198" t="s">
        <v>49</v>
      </c>
      <c r="K163" s="198" t="s">
        <v>50</v>
      </c>
      <c r="L163" s="252"/>
      <c r="M163" s="252"/>
      <c r="N163" s="252"/>
    </row>
    <row r="164" spans="1:14" ht="15.6" x14ac:dyDescent="0.6">
      <c r="A164" s="252"/>
      <c r="B164" s="260" t="s">
        <v>4</v>
      </c>
      <c r="C164" s="259"/>
      <c r="D164" s="261">
        <f>$D$11</f>
        <v>6000</v>
      </c>
      <c r="E164" s="288" t="s">
        <v>212</v>
      </c>
      <c r="F164" s="325">
        <f>K46</f>
        <v>6.36</v>
      </c>
      <c r="G164" s="263">
        <f>L46</f>
        <v>9</v>
      </c>
      <c r="H164" s="264" t="s">
        <v>47</v>
      </c>
      <c r="I164" s="265">
        <f>CEILING(D164*F164*G164,10)</f>
        <v>343440</v>
      </c>
      <c r="J164" s="179">
        <f>I164/$D$5</f>
        <v>57.24</v>
      </c>
      <c r="K164" s="266">
        <f>I164/$D$4</f>
        <v>343.44</v>
      </c>
      <c r="L164" s="252"/>
      <c r="M164" s="252"/>
      <c r="N164" s="252"/>
    </row>
    <row r="165" spans="1:14" ht="15.6" x14ac:dyDescent="0.6">
      <c r="A165" s="252"/>
      <c r="B165" s="260"/>
      <c r="C165" s="259"/>
      <c r="D165" s="261"/>
      <c r="E165" s="314" t="s">
        <v>214</v>
      </c>
      <c r="F165" s="289"/>
      <c r="G165" s="263"/>
      <c r="H165" s="264"/>
      <c r="I165" s="265"/>
      <c r="J165" s="179"/>
      <c r="K165" s="266"/>
      <c r="L165" s="252"/>
      <c r="M165" s="252"/>
      <c r="N165" s="252"/>
    </row>
    <row r="166" spans="1:14" ht="15.6" x14ac:dyDescent="0.6">
      <c r="A166" s="252"/>
      <c r="B166" s="260" t="s">
        <v>22</v>
      </c>
      <c r="C166" s="259"/>
      <c r="D166" s="261"/>
      <c r="E166" s="327" t="s">
        <v>225</v>
      </c>
      <c r="F166" s="259"/>
      <c r="G166" s="259"/>
      <c r="H166" s="259"/>
      <c r="I166" s="265"/>
      <c r="J166" s="265"/>
      <c r="K166" s="265"/>
      <c r="L166" s="252"/>
      <c r="M166" s="252"/>
      <c r="N166" s="252"/>
    </row>
    <row r="167" spans="1:14" ht="15.6" x14ac:dyDescent="0.6">
      <c r="A167" s="252"/>
      <c r="B167" s="66"/>
      <c r="C167" s="267" t="s">
        <v>19</v>
      </c>
      <c r="D167" s="261">
        <f>D$17+D$11*'Step 3'!G142</f>
        <v>900</v>
      </c>
      <c r="E167" s="328">
        <f>-(D$17-D167)/D$17</f>
        <v>0</v>
      </c>
      <c r="F167" s="346">
        <f>G46</f>
        <v>40</v>
      </c>
      <c r="G167" s="259" t="s">
        <v>55</v>
      </c>
      <c r="H167" s="252"/>
      <c r="I167" s="265">
        <f>CEILING(D167*F167,10)</f>
        <v>36000</v>
      </c>
      <c r="J167" s="179">
        <f t="shared" ref="J167:J168" si="30">I167/$D$5</f>
        <v>6</v>
      </c>
      <c r="K167" s="266">
        <f t="shared" ref="K167:K168" si="31">I167/$D$4</f>
        <v>36</v>
      </c>
      <c r="L167" s="252"/>
      <c r="M167" s="252"/>
      <c r="N167" s="252"/>
    </row>
    <row r="168" spans="1:14" ht="15.6" x14ac:dyDescent="0.6">
      <c r="A168" s="252"/>
      <c r="B168" s="66"/>
      <c r="C168" s="267" t="s">
        <v>215</v>
      </c>
      <c r="D168" s="261">
        <f>D$18+D$12*'Step 3'!G142</f>
        <v>375</v>
      </c>
      <c r="E168" s="328">
        <f>-(D$18-D168)/D$18</f>
        <v>0</v>
      </c>
      <c r="F168" s="346">
        <f>H46</f>
        <v>40</v>
      </c>
      <c r="G168" s="259" t="s">
        <v>55</v>
      </c>
      <c r="H168" s="252"/>
      <c r="I168" s="265">
        <f>CEILING(D168*F168,10)</f>
        <v>15000</v>
      </c>
      <c r="J168" s="179">
        <f t="shared" si="30"/>
        <v>2.5</v>
      </c>
      <c r="K168" s="266">
        <f t="shared" si="31"/>
        <v>15</v>
      </c>
      <c r="L168" s="252"/>
      <c r="M168" s="252"/>
      <c r="N168" s="252"/>
    </row>
    <row r="169" spans="1:14" ht="15.6" x14ac:dyDescent="0.6">
      <c r="A169" s="252"/>
      <c r="B169" s="66"/>
      <c r="C169" s="267" t="s">
        <v>20</v>
      </c>
      <c r="D169" s="261"/>
      <c r="E169" s="326"/>
      <c r="F169" s="326"/>
      <c r="G169" s="326"/>
      <c r="I169" s="127"/>
      <c r="J169" s="127"/>
      <c r="K169" s="127"/>
      <c r="L169" s="252"/>
      <c r="M169" s="252"/>
      <c r="N169" s="252"/>
    </row>
    <row r="170" spans="1:14" ht="15.6" x14ac:dyDescent="0.6">
      <c r="A170" s="252"/>
      <c r="B170" s="66"/>
      <c r="C170" s="273" t="s">
        <v>216</v>
      </c>
      <c r="D170" s="261">
        <f>D$59*D46</f>
        <v>5400</v>
      </c>
      <c r="E170" s="326"/>
      <c r="F170" s="269"/>
      <c r="G170" s="259"/>
      <c r="H170" s="252"/>
      <c r="I170" s="265"/>
      <c r="J170" s="179"/>
      <c r="K170" s="266"/>
      <c r="L170" s="252"/>
      <c r="M170" s="252"/>
      <c r="N170" s="252"/>
    </row>
    <row r="171" spans="1:14" ht="15.6" x14ac:dyDescent="0.6">
      <c r="A171" s="252"/>
      <c r="B171" s="66"/>
      <c r="C171" s="273" t="s">
        <v>98</v>
      </c>
      <c r="D171" s="261">
        <f>-D$11*E46</f>
        <v>-300</v>
      </c>
      <c r="E171" s="326"/>
      <c r="F171" s="269"/>
      <c r="G171" s="259"/>
      <c r="H171" s="252"/>
      <c r="I171" s="265"/>
      <c r="J171" s="179"/>
      <c r="K171" s="266"/>
      <c r="L171" s="252"/>
      <c r="M171" s="252"/>
      <c r="N171" s="252"/>
    </row>
    <row r="172" spans="1:14" ht="15.6" x14ac:dyDescent="0.6">
      <c r="A172" s="252"/>
      <c r="B172" s="66"/>
      <c r="C172" s="273" t="s">
        <v>222</v>
      </c>
      <c r="D172" s="261">
        <f>-D167</f>
        <v>-900</v>
      </c>
      <c r="E172" s="326"/>
      <c r="F172" s="269"/>
      <c r="G172" s="259"/>
      <c r="H172" s="252"/>
      <c r="I172" s="265"/>
      <c r="J172" s="179"/>
      <c r="K172" s="266"/>
      <c r="L172" s="252"/>
      <c r="M172" s="252"/>
      <c r="N172" s="252"/>
    </row>
    <row r="173" spans="1:14" ht="15.6" x14ac:dyDescent="0.6">
      <c r="A173" s="252"/>
      <c r="B173" s="66"/>
      <c r="C173" s="273" t="s">
        <v>210</v>
      </c>
      <c r="D173" s="261">
        <f>-D$12*F46</f>
        <v>-50</v>
      </c>
      <c r="E173" s="326"/>
      <c r="F173" s="269"/>
      <c r="G173" s="259"/>
      <c r="H173" s="252"/>
      <c r="I173" s="265"/>
      <c r="J173" s="179"/>
      <c r="K173" s="266"/>
      <c r="L173" s="252"/>
      <c r="M173" s="252"/>
      <c r="N173" s="252"/>
    </row>
    <row r="174" spans="1:14" ht="15.6" x14ac:dyDescent="0.6">
      <c r="A174" s="252"/>
      <c r="B174" s="66"/>
      <c r="C174" s="273" t="s">
        <v>217</v>
      </c>
      <c r="D174" s="285">
        <f>-D168</f>
        <v>-375</v>
      </c>
      <c r="E174" s="326"/>
      <c r="F174" s="269"/>
      <c r="G174" s="259"/>
      <c r="H174" s="252"/>
      <c r="I174" s="265"/>
      <c r="J174" s="179"/>
      <c r="K174" s="266"/>
      <c r="L174" s="252"/>
      <c r="M174" s="252"/>
      <c r="N174" s="252"/>
    </row>
    <row r="175" spans="1:14" ht="15.6" x14ac:dyDescent="0.6">
      <c r="A175" s="252"/>
      <c r="B175" s="66"/>
      <c r="C175" s="267"/>
      <c r="D175" s="261">
        <f>SUM(D170:D174)</f>
        <v>3775</v>
      </c>
      <c r="E175" s="329">
        <f>-(D$19-D175)/D$19</f>
        <v>0</v>
      </c>
      <c r="F175" s="346">
        <f>I46</f>
        <v>60</v>
      </c>
      <c r="G175" s="259" t="s">
        <v>55</v>
      </c>
      <c r="H175" s="252"/>
      <c r="I175" s="265">
        <f>D175*F175</f>
        <v>226500</v>
      </c>
      <c r="J175" s="179">
        <f>I175/$D$5</f>
        <v>37.75</v>
      </c>
      <c r="K175" s="266">
        <f>I175/$D$4</f>
        <v>226.5</v>
      </c>
      <c r="L175" s="252"/>
      <c r="M175" s="252"/>
      <c r="N175" s="252"/>
    </row>
    <row r="176" spans="1:14" ht="15.6" x14ac:dyDescent="0.6">
      <c r="A176" s="252"/>
      <c r="B176" s="66"/>
      <c r="C176" s="267" t="s">
        <v>21</v>
      </c>
      <c r="D176" s="261">
        <f>D$25</f>
        <v>12</v>
      </c>
      <c r="E176" s="268" t="s">
        <v>57</v>
      </c>
      <c r="F176" s="346">
        <f>J46</f>
        <v>40</v>
      </c>
      <c r="G176" s="259" t="s">
        <v>55</v>
      </c>
      <c r="H176" s="252"/>
      <c r="I176" s="270">
        <f>CEILING(D176*F176,10)</f>
        <v>480</v>
      </c>
      <c r="J176" s="271">
        <f t="shared" ref="J176" si="32">I176/$D$5</f>
        <v>0.08</v>
      </c>
      <c r="K176" s="272">
        <f t="shared" ref="K176:K177" si="33">I176/$D$4</f>
        <v>0.48</v>
      </c>
      <c r="L176" s="252"/>
      <c r="M176" s="252"/>
      <c r="N176" s="252"/>
    </row>
    <row r="177" spans="1:14" ht="15.6" x14ac:dyDescent="0.6">
      <c r="A177" s="252"/>
      <c r="B177" s="66"/>
      <c r="C177" s="267"/>
      <c r="D177" s="267"/>
      <c r="E177" s="268"/>
      <c r="F177" s="268"/>
      <c r="G177" s="259"/>
      <c r="H177" s="259"/>
      <c r="I177" s="265">
        <f>SUM(I167:I176)</f>
        <v>277980</v>
      </c>
      <c r="J177" s="179">
        <f>I177/$D$5</f>
        <v>46.33</v>
      </c>
      <c r="K177" s="266">
        <f t="shared" si="33"/>
        <v>277.98</v>
      </c>
      <c r="L177" s="252"/>
      <c r="M177" s="252"/>
      <c r="N177" s="252"/>
    </row>
    <row r="178" spans="1:14" ht="15.6" x14ac:dyDescent="0.6">
      <c r="A178" s="252"/>
      <c r="B178" s="260" t="s">
        <v>28</v>
      </c>
      <c r="C178" s="273"/>
      <c r="D178" s="273"/>
      <c r="E178" s="268"/>
      <c r="F178" s="268"/>
      <c r="G178" s="259"/>
      <c r="H178" s="259"/>
      <c r="I178" s="265"/>
      <c r="J178" s="265"/>
      <c r="K178" s="265"/>
      <c r="L178" s="252"/>
      <c r="M178" s="252"/>
      <c r="N178" s="252"/>
    </row>
    <row r="179" spans="1:14" ht="15.6" x14ac:dyDescent="0.6">
      <c r="A179" s="252"/>
      <c r="B179" s="274"/>
      <c r="C179" s="267" t="s">
        <v>1</v>
      </c>
      <c r="D179" s="261" t="s">
        <v>99</v>
      </c>
      <c r="E179" s="268"/>
      <c r="F179" s="268"/>
      <c r="G179" s="259"/>
      <c r="H179" s="259"/>
      <c r="I179" s="266">
        <v>0</v>
      </c>
      <c r="J179" s="179">
        <f t="shared" ref="J179:J182" si="34">I179/$D$5</f>
        <v>0</v>
      </c>
      <c r="K179" s="266">
        <f t="shared" ref="K179:K182" si="35">I179/$D$4</f>
        <v>0</v>
      </c>
      <c r="L179" s="252"/>
      <c r="M179" s="252"/>
      <c r="N179" s="252"/>
    </row>
    <row r="180" spans="1:14" ht="15.6" x14ac:dyDescent="0.6">
      <c r="A180" s="252"/>
      <c r="B180" s="274"/>
      <c r="C180" s="267" t="s">
        <v>133</v>
      </c>
      <c r="D180" s="261" t="s">
        <v>134</v>
      </c>
      <c r="E180" s="268"/>
      <c r="F180" s="268"/>
      <c r="G180" s="259"/>
      <c r="H180" s="259"/>
      <c r="I180" s="266">
        <v>0</v>
      </c>
      <c r="J180" s="179">
        <f t="shared" si="34"/>
        <v>0</v>
      </c>
      <c r="K180" s="266">
        <f t="shared" si="35"/>
        <v>0</v>
      </c>
      <c r="L180" s="252"/>
      <c r="M180" s="252"/>
      <c r="N180" s="252"/>
    </row>
    <row r="181" spans="1:14" ht="15.6" x14ac:dyDescent="0.6">
      <c r="A181" s="252"/>
      <c r="B181" s="274"/>
      <c r="C181" s="267" t="s">
        <v>2</v>
      </c>
      <c r="D181" s="261">
        <f>D$25</f>
        <v>12</v>
      </c>
      <c r="E181" s="268" t="s">
        <v>57</v>
      </c>
      <c r="F181" s="269">
        <f>F$25</f>
        <v>800</v>
      </c>
      <c r="G181" s="259" t="s">
        <v>58</v>
      </c>
      <c r="H181" s="259"/>
      <c r="I181" s="272">
        <f>CEILING(-D181*F181,10)</f>
        <v>-9600</v>
      </c>
      <c r="J181" s="271">
        <f t="shared" si="34"/>
        <v>-1.6</v>
      </c>
      <c r="K181" s="272">
        <f t="shared" si="35"/>
        <v>-9.6</v>
      </c>
      <c r="L181" s="252"/>
      <c r="M181" s="252"/>
      <c r="N181" s="252"/>
    </row>
    <row r="182" spans="1:14" ht="15.6" x14ac:dyDescent="0.6">
      <c r="A182" s="252"/>
      <c r="B182" s="66"/>
      <c r="C182" s="273"/>
      <c r="D182" s="273"/>
      <c r="E182" s="273"/>
      <c r="F182" s="273"/>
      <c r="G182" s="273"/>
      <c r="H182" s="273"/>
      <c r="I182" s="266">
        <f>SUM(I179:I181)</f>
        <v>-9600</v>
      </c>
      <c r="J182" s="179">
        <f t="shared" si="34"/>
        <v>-1.6</v>
      </c>
      <c r="K182" s="266">
        <f t="shared" si="35"/>
        <v>-9.6</v>
      </c>
      <c r="L182" s="252"/>
      <c r="M182" s="252"/>
      <c r="N182" s="252"/>
    </row>
    <row r="183" spans="1:14" ht="15.6" x14ac:dyDescent="0.6">
      <c r="A183" s="252"/>
      <c r="B183" s="275" t="s">
        <v>0</v>
      </c>
      <c r="C183" s="257"/>
      <c r="D183" s="257"/>
      <c r="E183" s="257"/>
      <c r="F183" s="257"/>
      <c r="G183" s="257"/>
      <c r="H183" s="257"/>
      <c r="I183" s="276">
        <f>I164+I177+I182</f>
        <v>611820</v>
      </c>
      <c r="J183" s="277">
        <f>J164+J177+J182</f>
        <v>101.97</v>
      </c>
      <c r="K183" s="278">
        <f>K164+K177+K182</f>
        <v>611.82000000000005</v>
      </c>
      <c r="L183" s="252"/>
      <c r="M183" s="252"/>
      <c r="N183" s="252"/>
    </row>
    <row r="184" spans="1:14" ht="15.6" x14ac:dyDescent="0.6">
      <c r="A184" s="252"/>
      <c r="B184" s="66" t="s">
        <v>23</v>
      </c>
      <c r="C184" s="259"/>
      <c r="D184" s="259"/>
      <c r="E184" s="259"/>
      <c r="F184" s="259"/>
      <c r="G184" s="259"/>
      <c r="H184" s="259"/>
      <c r="I184" s="198" t="s">
        <v>48</v>
      </c>
      <c r="J184" s="198" t="s">
        <v>49</v>
      </c>
      <c r="K184" s="198" t="s">
        <v>50</v>
      </c>
      <c r="L184" s="252"/>
      <c r="M184" s="252"/>
      <c r="N184" s="252"/>
    </row>
    <row r="185" spans="1:14" ht="15.6" x14ac:dyDescent="0.6">
      <c r="A185" s="252"/>
      <c r="B185" s="260" t="s">
        <v>3</v>
      </c>
      <c r="C185" s="259"/>
      <c r="D185" s="259"/>
      <c r="E185" s="259"/>
      <c r="F185" s="259"/>
      <c r="G185" s="259"/>
      <c r="L185" s="252"/>
      <c r="M185" s="252"/>
      <c r="N185" s="252"/>
    </row>
    <row r="186" spans="1:14" ht="15.6" x14ac:dyDescent="0.6">
      <c r="A186" s="252"/>
      <c r="B186" s="260"/>
      <c r="C186" s="259" t="s">
        <v>224</v>
      </c>
      <c r="D186" s="261">
        <f>D$15</f>
        <v>10185</v>
      </c>
      <c r="E186" s="262" t="s">
        <v>57</v>
      </c>
      <c r="F186" s="263">
        <f>F$30</f>
        <v>3.5</v>
      </c>
      <c r="G186" s="264" t="s">
        <v>204</v>
      </c>
      <c r="H186" s="259"/>
      <c r="I186" s="265">
        <f>CEILING(D186*F186,10)</f>
        <v>35650</v>
      </c>
      <c r="J186" s="179">
        <f>I186/$D$5</f>
        <v>5.9416666666666664</v>
      </c>
      <c r="K186" s="266">
        <f>I186/$D$4</f>
        <v>35.65</v>
      </c>
      <c r="L186" s="252"/>
      <c r="M186" s="252"/>
      <c r="N186" s="252"/>
    </row>
    <row r="187" spans="1:14" ht="15.6" x14ac:dyDescent="0.6">
      <c r="A187" s="252"/>
      <c r="B187" s="260"/>
      <c r="C187" s="259" t="s">
        <v>135</v>
      </c>
      <c r="D187" s="261">
        <f>D170</f>
        <v>5400</v>
      </c>
      <c r="E187" s="262" t="s">
        <v>57</v>
      </c>
      <c r="F187" s="263">
        <f>F$31</f>
        <v>3.5</v>
      </c>
      <c r="G187" s="264" t="s">
        <v>204</v>
      </c>
      <c r="H187" s="259"/>
      <c r="I187" s="265">
        <f>CEILING(D187*F187,10)</f>
        <v>18900</v>
      </c>
      <c r="J187" s="179">
        <f>I187/$D$5</f>
        <v>3.15</v>
      </c>
      <c r="K187" s="266">
        <f>I187/$D$4</f>
        <v>18.899999999999999</v>
      </c>
      <c r="L187" s="252"/>
      <c r="M187" s="252"/>
      <c r="N187" s="252"/>
    </row>
    <row r="188" spans="1:14" ht="15.6" x14ac:dyDescent="0.6">
      <c r="A188" s="252"/>
      <c r="B188" s="260" t="s">
        <v>97</v>
      </c>
      <c r="C188" s="259"/>
      <c r="D188" s="261">
        <f>D186</f>
        <v>10185</v>
      </c>
      <c r="E188" s="262" t="s">
        <v>57</v>
      </c>
      <c r="F188" s="263">
        <f>I188/D188</f>
        <v>0</v>
      </c>
      <c r="G188" s="264" t="s">
        <v>204</v>
      </c>
      <c r="H188" s="259"/>
      <c r="I188" s="265">
        <f>'Step 3'!G89</f>
        <v>0</v>
      </c>
      <c r="J188" s="179">
        <f t="shared" ref="J188:J192" si="36">I188/$D$5</f>
        <v>0</v>
      </c>
      <c r="K188" s="266">
        <f t="shared" ref="K188:K192" si="37">I188/$D$4</f>
        <v>0</v>
      </c>
      <c r="L188" s="252"/>
      <c r="M188" s="252"/>
      <c r="N188" s="252"/>
    </row>
    <row r="189" spans="1:14" ht="15.6" x14ac:dyDescent="0.6">
      <c r="A189" s="252"/>
      <c r="B189" s="260" t="s">
        <v>24</v>
      </c>
      <c r="C189" s="259"/>
      <c r="D189" s="261">
        <f>D186</f>
        <v>10185</v>
      </c>
      <c r="E189" s="262" t="str">
        <f>E186</f>
        <v>hd @</v>
      </c>
      <c r="F189" s="263">
        <f>F$33</f>
        <v>6.5</v>
      </c>
      <c r="G189" s="264" t="s">
        <v>204</v>
      </c>
      <c r="H189" s="259"/>
      <c r="I189" s="265">
        <f>CEILING(D189*F189,10)</f>
        <v>66210</v>
      </c>
      <c r="J189" s="179">
        <f t="shared" si="36"/>
        <v>11.035</v>
      </c>
      <c r="K189" s="266">
        <f t="shared" si="37"/>
        <v>66.209999999999994</v>
      </c>
      <c r="L189" s="252"/>
      <c r="M189" s="252"/>
      <c r="N189" s="252"/>
    </row>
    <row r="190" spans="1:14" ht="15.6" x14ac:dyDescent="0.6">
      <c r="A190" s="252"/>
      <c r="B190" s="260" t="s">
        <v>25</v>
      </c>
      <c r="C190" s="259"/>
      <c r="D190" s="279">
        <f>D164*F164/170</f>
        <v>224.47058823529412</v>
      </c>
      <c r="E190" s="262" t="s">
        <v>59</v>
      </c>
      <c r="F190" s="263">
        <f>F$34</f>
        <v>20</v>
      </c>
      <c r="G190" s="264" t="s">
        <v>60</v>
      </c>
      <c r="H190" s="259"/>
      <c r="I190" s="265">
        <f>CEILING(D190*F190,10)</f>
        <v>4490</v>
      </c>
      <c r="J190" s="179">
        <f t="shared" si="36"/>
        <v>0.74833333333333329</v>
      </c>
      <c r="K190" s="266">
        <f t="shared" si="37"/>
        <v>4.49</v>
      </c>
      <c r="L190" s="252"/>
      <c r="M190" s="252"/>
      <c r="N190" s="252"/>
    </row>
    <row r="191" spans="1:14" ht="15.6" x14ac:dyDescent="0.6">
      <c r="A191" s="252"/>
      <c r="B191" s="260" t="s">
        <v>26</v>
      </c>
      <c r="C191" s="259"/>
      <c r="D191" s="259"/>
      <c r="E191" s="259"/>
      <c r="F191" s="263">
        <f>F$35</f>
        <v>15</v>
      </c>
      <c r="G191" s="264" t="s">
        <v>60</v>
      </c>
      <c r="H191" s="259"/>
      <c r="I191" s="265">
        <f>CEILING(D190*F191,10)</f>
        <v>3370</v>
      </c>
      <c r="J191" s="179">
        <f t="shared" si="36"/>
        <v>0.56166666666666665</v>
      </c>
      <c r="K191" s="266">
        <f t="shared" si="37"/>
        <v>3.37</v>
      </c>
      <c r="L191" s="252"/>
      <c r="M191" s="252"/>
      <c r="N191" s="252"/>
    </row>
    <row r="192" spans="1:14" ht="15.6" x14ac:dyDescent="0.6">
      <c r="A192" s="252"/>
      <c r="B192" s="260" t="s">
        <v>27</v>
      </c>
      <c r="C192" s="259"/>
      <c r="D192" s="261">
        <f>D167+D168+D175+D176+D181</f>
        <v>5074</v>
      </c>
      <c r="E192" s="268" t="s">
        <v>57</v>
      </c>
      <c r="F192" s="263">
        <f>F$36</f>
        <v>2</v>
      </c>
      <c r="G192" s="264" t="s">
        <v>61</v>
      </c>
      <c r="H192" s="259"/>
      <c r="I192" s="265">
        <f>CEILING(D192*F192,10)</f>
        <v>10150</v>
      </c>
      <c r="J192" s="179">
        <f t="shared" si="36"/>
        <v>1.6916666666666667</v>
      </c>
      <c r="K192" s="266">
        <f t="shared" si="37"/>
        <v>10.15</v>
      </c>
      <c r="L192" s="252"/>
      <c r="M192" s="252"/>
      <c r="N192" s="252"/>
    </row>
    <row r="193" spans="1:14" ht="15.6" x14ac:dyDescent="0.6">
      <c r="A193" s="252"/>
      <c r="B193" s="275" t="s">
        <v>41</v>
      </c>
      <c r="C193" s="257"/>
      <c r="D193" s="257"/>
      <c r="E193" s="280"/>
      <c r="F193" s="257"/>
      <c r="G193" s="257"/>
      <c r="H193" s="257"/>
      <c r="I193" s="276">
        <f>SUM(I186:I192)</f>
        <v>138770</v>
      </c>
      <c r="J193" s="277">
        <f>SUM(J186:J192)</f>
        <v>23.128333333333334</v>
      </c>
      <c r="K193" s="278">
        <f>SUM(K186:K192)</f>
        <v>138.76999999999998</v>
      </c>
      <c r="L193" s="252"/>
      <c r="M193" s="252"/>
      <c r="N193" s="252"/>
    </row>
    <row r="194" spans="1:14" ht="15.6" x14ac:dyDescent="0.6">
      <c r="A194" s="252"/>
      <c r="B194" s="281" t="s">
        <v>62</v>
      </c>
      <c r="C194" s="257"/>
      <c r="D194" s="257"/>
      <c r="E194" s="280"/>
      <c r="F194" s="257"/>
      <c r="G194" s="257"/>
      <c r="H194" s="257"/>
      <c r="I194" s="276">
        <f>I183-I193</f>
        <v>473050</v>
      </c>
      <c r="J194" s="277">
        <f>J183-J193</f>
        <v>78.841666666666669</v>
      </c>
      <c r="K194" s="278">
        <f>K183-K193</f>
        <v>473.05000000000007</v>
      </c>
      <c r="L194" s="252"/>
      <c r="M194" s="252"/>
      <c r="N194" s="252"/>
    </row>
    <row r="195" spans="1:14" ht="15.6" x14ac:dyDescent="0.6">
      <c r="A195" s="252"/>
      <c r="B195" s="282"/>
      <c r="C195" s="255"/>
      <c r="D195" s="255"/>
      <c r="E195" s="255"/>
      <c r="F195" s="255"/>
      <c r="G195" s="255"/>
      <c r="H195" s="255"/>
      <c r="I195" s="255"/>
      <c r="J195" s="255"/>
      <c r="K195" s="255"/>
      <c r="L195" s="252"/>
      <c r="M195" s="252"/>
      <c r="N195" s="252"/>
    </row>
    <row r="196" spans="1:14" ht="18.3" x14ac:dyDescent="0.7">
      <c r="A196" s="252"/>
      <c r="B196" s="253" t="s">
        <v>268</v>
      </c>
      <c r="C196" s="252"/>
      <c r="D196" s="252"/>
      <c r="E196" s="252"/>
      <c r="F196" s="252"/>
      <c r="G196" s="252"/>
      <c r="H196" s="252"/>
      <c r="I196" s="252"/>
      <c r="J196" s="252"/>
      <c r="K196" s="252"/>
      <c r="L196" s="252"/>
      <c r="M196" s="252"/>
      <c r="N196" s="252"/>
    </row>
    <row r="197" spans="1:14" ht="17.7" x14ac:dyDescent="0.6">
      <c r="A197" s="252"/>
      <c r="B197" s="256"/>
      <c r="C197" s="257"/>
      <c r="D197" s="257"/>
      <c r="E197" s="257"/>
      <c r="F197" s="257"/>
      <c r="G197" s="257"/>
      <c r="H197" s="257"/>
      <c r="I197" s="258" t="s">
        <v>46</v>
      </c>
      <c r="J197" s="258" t="s">
        <v>78</v>
      </c>
      <c r="K197" s="258" t="s">
        <v>87</v>
      </c>
      <c r="L197" s="252"/>
      <c r="M197" s="252"/>
      <c r="N197" s="252"/>
    </row>
    <row r="198" spans="1:14" ht="15.6" x14ac:dyDescent="0.6">
      <c r="A198" s="252"/>
      <c r="B198" s="66" t="s">
        <v>18</v>
      </c>
      <c r="C198" s="259"/>
      <c r="D198" s="259"/>
      <c r="E198" s="259"/>
      <c r="F198" s="259"/>
      <c r="G198" s="259"/>
      <c r="H198" s="259"/>
      <c r="I198" s="198" t="s">
        <v>48</v>
      </c>
      <c r="J198" s="198" t="s">
        <v>49</v>
      </c>
      <c r="K198" s="198" t="s">
        <v>50</v>
      </c>
      <c r="L198" s="252"/>
      <c r="M198" s="252"/>
      <c r="N198" s="252"/>
    </row>
    <row r="199" spans="1:14" ht="15.6" x14ac:dyDescent="0.6">
      <c r="A199" s="252"/>
      <c r="B199" s="260" t="s">
        <v>4</v>
      </c>
      <c r="C199" s="259"/>
      <c r="D199" s="261">
        <f>$D$11</f>
        <v>6000</v>
      </c>
      <c r="E199" s="288" t="s">
        <v>212</v>
      </c>
      <c r="F199" s="325">
        <f>K47</f>
        <v>6.36</v>
      </c>
      <c r="G199" s="263">
        <f>L47</f>
        <v>9</v>
      </c>
      <c r="H199" s="264" t="s">
        <v>47</v>
      </c>
      <c r="I199" s="265">
        <f>CEILING(D199*F199*G199,10)</f>
        <v>343440</v>
      </c>
      <c r="J199" s="179">
        <f>I199/$D$5</f>
        <v>57.24</v>
      </c>
      <c r="K199" s="266">
        <f>I199/$D$4</f>
        <v>343.44</v>
      </c>
      <c r="L199" s="252"/>
      <c r="M199" s="252"/>
      <c r="N199" s="252"/>
    </row>
    <row r="200" spans="1:14" ht="15.6" x14ac:dyDescent="0.6">
      <c r="A200" s="252"/>
      <c r="B200" s="260"/>
      <c r="C200" s="259"/>
      <c r="D200" s="261"/>
      <c r="E200" s="314" t="s">
        <v>214</v>
      </c>
      <c r="F200" s="289"/>
      <c r="G200" s="263"/>
      <c r="H200" s="264"/>
      <c r="I200" s="265"/>
      <c r="J200" s="179"/>
      <c r="K200" s="266"/>
      <c r="L200" s="252"/>
      <c r="M200" s="252"/>
      <c r="N200" s="252"/>
    </row>
    <row r="201" spans="1:14" ht="15.6" x14ac:dyDescent="0.6">
      <c r="A201" s="252"/>
      <c r="B201" s="260" t="s">
        <v>22</v>
      </c>
      <c r="C201" s="259"/>
      <c r="D201" s="261"/>
      <c r="E201" s="327" t="s">
        <v>225</v>
      </c>
      <c r="F201" s="259"/>
      <c r="G201" s="259"/>
      <c r="H201" s="259"/>
      <c r="I201" s="265"/>
      <c r="J201" s="265"/>
      <c r="K201" s="265"/>
      <c r="L201" s="252"/>
      <c r="M201" s="252"/>
      <c r="N201" s="252"/>
    </row>
    <row r="202" spans="1:14" ht="15.6" x14ac:dyDescent="0.6">
      <c r="A202" s="252"/>
      <c r="B202" s="66"/>
      <c r="C202" s="267" t="s">
        <v>19</v>
      </c>
      <c r="D202" s="261">
        <f>D$17+D$11*'Step 3'!G143</f>
        <v>900</v>
      </c>
      <c r="E202" s="328">
        <f>-(D$17-D202)/D$17</f>
        <v>0</v>
      </c>
      <c r="F202" s="346">
        <f>G47</f>
        <v>40</v>
      </c>
      <c r="G202" s="259" t="s">
        <v>55</v>
      </c>
      <c r="H202" s="252"/>
      <c r="I202" s="265">
        <f>CEILING(D202*F202,10)</f>
        <v>36000</v>
      </c>
      <c r="J202" s="179">
        <f t="shared" ref="J202:J203" si="38">I202/$D$5</f>
        <v>6</v>
      </c>
      <c r="K202" s="266">
        <f t="shared" ref="K202:K203" si="39">I202/$D$4</f>
        <v>36</v>
      </c>
      <c r="L202" s="252"/>
      <c r="M202" s="252"/>
      <c r="N202" s="252"/>
    </row>
    <row r="203" spans="1:14" ht="15.6" x14ac:dyDescent="0.6">
      <c r="A203" s="252"/>
      <c r="B203" s="66"/>
      <c r="C203" s="267" t="s">
        <v>215</v>
      </c>
      <c r="D203" s="261">
        <f>D$18+D$12*'Step 3'!G143</f>
        <v>375</v>
      </c>
      <c r="E203" s="328">
        <f>-(D$18-D203)/D$18</f>
        <v>0</v>
      </c>
      <c r="F203" s="346">
        <f>H47</f>
        <v>40</v>
      </c>
      <c r="G203" s="259" t="s">
        <v>55</v>
      </c>
      <c r="H203" s="252"/>
      <c r="I203" s="265">
        <f>CEILING(D203*F203,10)</f>
        <v>15000</v>
      </c>
      <c r="J203" s="179">
        <f t="shared" si="38"/>
        <v>2.5</v>
      </c>
      <c r="K203" s="266">
        <f t="shared" si="39"/>
        <v>15</v>
      </c>
      <c r="L203" s="252"/>
      <c r="M203" s="252"/>
      <c r="N203" s="252"/>
    </row>
    <row r="204" spans="1:14" ht="15.6" x14ac:dyDescent="0.6">
      <c r="A204" s="252"/>
      <c r="B204" s="66"/>
      <c r="C204" s="267" t="s">
        <v>20</v>
      </c>
      <c r="D204" s="261"/>
      <c r="E204" s="326"/>
      <c r="F204" s="326"/>
      <c r="G204" s="326"/>
      <c r="I204" s="127"/>
      <c r="J204" s="127"/>
      <c r="K204" s="127"/>
      <c r="L204" s="252"/>
      <c r="M204" s="252"/>
      <c r="N204" s="252"/>
    </row>
    <row r="205" spans="1:14" ht="15.6" x14ac:dyDescent="0.6">
      <c r="A205" s="252"/>
      <c r="B205" s="66"/>
      <c r="C205" s="273" t="s">
        <v>216</v>
      </c>
      <c r="D205" s="261">
        <f>D$59*D47</f>
        <v>5400</v>
      </c>
      <c r="E205" s="326"/>
      <c r="F205" s="269"/>
      <c r="G205" s="259"/>
      <c r="H205" s="252"/>
      <c r="I205" s="265"/>
      <c r="J205" s="179"/>
      <c r="K205" s="266"/>
      <c r="L205" s="252"/>
      <c r="M205" s="252"/>
      <c r="N205" s="252"/>
    </row>
    <row r="206" spans="1:14" ht="15.6" x14ac:dyDescent="0.6">
      <c r="A206" s="252"/>
      <c r="B206" s="66"/>
      <c r="C206" s="273" t="s">
        <v>98</v>
      </c>
      <c r="D206" s="261">
        <f>-D$11*E47</f>
        <v>-300</v>
      </c>
      <c r="E206" s="326"/>
      <c r="F206" s="269"/>
      <c r="G206" s="259"/>
      <c r="H206" s="252"/>
      <c r="I206" s="265"/>
      <c r="J206" s="179"/>
      <c r="K206" s="266"/>
      <c r="L206" s="252"/>
      <c r="M206" s="252"/>
      <c r="N206" s="252"/>
    </row>
    <row r="207" spans="1:14" ht="15.6" x14ac:dyDescent="0.6">
      <c r="A207" s="252"/>
      <c r="B207" s="66"/>
      <c r="C207" s="273" t="s">
        <v>222</v>
      </c>
      <c r="D207" s="261">
        <f>-D202</f>
        <v>-900</v>
      </c>
      <c r="E207" s="326"/>
      <c r="F207" s="269"/>
      <c r="G207" s="259"/>
      <c r="H207" s="252"/>
      <c r="I207" s="265"/>
      <c r="J207" s="179"/>
      <c r="K207" s="266"/>
      <c r="L207" s="252"/>
      <c r="M207" s="252"/>
      <c r="N207" s="252"/>
    </row>
    <row r="208" spans="1:14" ht="15.6" x14ac:dyDescent="0.6">
      <c r="A208" s="252"/>
      <c r="B208" s="66"/>
      <c r="C208" s="273" t="s">
        <v>210</v>
      </c>
      <c r="D208" s="261">
        <f>-D$12*F47</f>
        <v>-50</v>
      </c>
      <c r="E208" s="326"/>
      <c r="F208" s="269"/>
      <c r="G208" s="259"/>
      <c r="H208" s="252"/>
      <c r="I208" s="265"/>
      <c r="J208" s="179"/>
      <c r="K208" s="266"/>
      <c r="L208" s="252"/>
      <c r="M208" s="252"/>
      <c r="N208" s="252"/>
    </row>
    <row r="209" spans="1:14" ht="15.6" x14ac:dyDescent="0.6">
      <c r="A209" s="252"/>
      <c r="B209" s="66"/>
      <c r="C209" s="273" t="s">
        <v>217</v>
      </c>
      <c r="D209" s="285">
        <f>-D203</f>
        <v>-375</v>
      </c>
      <c r="E209" s="326"/>
      <c r="F209" s="269"/>
      <c r="G209" s="259"/>
      <c r="H209" s="252"/>
      <c r="I209" s="265"/>
      <c r="J209" s="179"/>
      <c r="K209" s="266"/>
      <c r="L209" s="252"/>
      <c r="M209" s="252"/>
      <c r="N209" s="252"/>
    </row>
    <row r="210" spans="1:14" ht="15.6" x14ac:dyDescent="0.6">
      <c r="A210" s="252"/>
      <c r="B210" s="66"/>
      <c r="C210" s="267"/>
      <c r="D210" s="261">
        <f>SUM(D205:D209)</f>
        <v>3775</v>
      </c>
      <c r="E210" s="329">
        <f>-(D$19-D210)/D$19</f>
        <v>0</v>
      </c>
      <c r="F210" s="263">
        <f>I47</f>
        <v>60</v>
      </c>
      <c r="G210" s="259" t="s">
        <v>55</v>
      </c>
      <c r="H210" s="252"/>
      <c r="I210" s="265">
        <f>D210*F210</f>
        <v>226500</v>
      </c>
      <c r="J210" s="179">
        <f>I210/$D$5</f>
        <v>37.75</v>
      </c>
      <c r="K210" s="266">
        <f>I210/$D$4</f>
        <v>226.5</v>
      </c>
      <c r="L210" s="252"/>
      <c r="M210" s="252"/>
      <c r="N210" s="252"/>
    </row>
    <row r="211" spans="1:14" ht="15.6" x14ac:dyDescent="0.6">
      <c r="A211" s="252"/>
      <c r="B211" s="66"/>
      <c r="C211" s="267" t="s">
        <v>21</v>
      </c>
      <c r="D211" s="261">
        <f>D$25</f>
        <v>12</v>
      </c>
      <c r="E211" s="268" t="s">
        <v>57</v>
      </c>
      <c r="F211" s="263">
        <f>J47</f>
        <v>40</v>
      </c>
      <c r="G211" s="259" t="s">
        <v>55</v>
      </c>
      <c r="H211" s="252"/>
      <c r="I211" s="270">
        <f>CEILING(D211*F211,10)</f>
        <v>480</v>
      </c>
      <c r="J211" s="271">
        <f t="shared" ref="J211" si="40">I211/$D$5</f>
        <v>0.08</v>
      </c>
      <c r="K211" s="272">
        <f t="shared" ref="K211:K212" si="41">I211/$D$4</f>
        <v>0.48</v>
      </c>
      <c r="L211" s="252"/>
      <c r="M211" s="252"/>
      <c r="N211" s="252"/>
    </row>
    <row r="212" spans="1:14" ht="15.6" x14ac:dyDescent="0.6">
      <c r="A212" s="252"/>
      <c r="B212" s="66"/>
      <c r="C212" s="267"/>
      <c r="D212" s="267"/>
      <c r="E212" s="268"/>
      <c r="F212" s="268"/>
      <c r="G212" s="259"/>
      <c r="H212" s="259"/>
      <c r="I212" s="265">
        <f>SUM(I202:I211)</f>
        <v>277980</v>
      </c>
      <c r="J212" s="179">
        <f>I212/$D$5</f>
        <v>46.33</v>
      </c>
      <c r="K212" s="266">
        <f t="shared" si="41"/>
        <v>277.98</v>
      </c>
      <c r="L212" s="252"/>
      <c r="M212" s="252"/>
      <c r="N212" s="252"/>
    </row>
    <row r="213" spans="1:14" ht="15.6" x14ac:dyDescent="0.6">
      <c r="A213" s="252"/>
      <c r="B213" s="260" t="s">
        <v>28</v>
      </c>
      <c r="C213" s="273"/>
      <c r="D213" s="273"/>
      <c r="E213" s="268"/>
      <c r="F213" s="268"/>
      <c r="G213" s="259"/>
      <c r="H213" s="259"/>
      <c r="I213" s="265"/>
      <c r="J213" s="265"/>
      <c r="K213" s="265"/>
      <c r="L213" s="252"/>
      <c r="M213" s="252"/>
      <c r="N213" s="252"/>
    </row>
    <row r="214" spans="1:14" ht="15.6" x14ac:dyDescent="0.6">
      <c r="A214" s="252"/>
      <c r="B214" s="274"/>
      <c r="C214" s="267" t="s">
        <v>1</v>
      </c>
      <c r="D214" s="261" t="s">
        <v>99</v>
      </c>
      <c r="E214" s="268"/>
      <c r="F214" s="268"/>
      <c r="G214" s="259"/>
      <c r="H214" s="259"/>
      <c r="I214" s="266">
        <v>0</v>
      </c>
      <c r="J214" s="179">
        <f t="shared" ref="J214:J217" si="42">I214/$D$5</f>
        <v>0</v>
      </c>
      <c r="K214" s="266">
        <f t="shared" ref="K214:K217" si="43">I214/$D$4</f>
        <v>0</v>
      </c>
      <c r="L214" s="252"/>
      <c r="M214" s="252"/>
      <c r="N214" s="252"/>
    </row>
    <row r="215" spans="1:14" ht="15.6" x14ac:dyDescent="0.6">
      <c r="A215" s="252"/>
      <c r="B215" s="274"/>
      <c r="C215" s="267" t="s">
        <v>133</v>
      </c>
      <c r="D215" s="261" t="s">
        <v>134</v>
      </c>
      <c r="E215" s="268"/>
      <c r="F215" s="268"/>
      <c r="G215" s="259"/>
      <c r="H215" s="259"/>
      <c r="I215" s="266">
        <v>0</v>
      </c>
      <c r="J215" s="179">
        <f t="shared" si="42"/>
        <v>0</v>
      </c>
      <c r="K215" s="266">
        <f t="shared" si="43"/>
        <v>0</v>
      </c>
      <c r="L215" s="252"/>
      <c r="M215" s="252"/>
      <c r="N215" s="252"/>
    </row>
    <row r="216" spans="1:14" ht="15.6" x14ac:dyDescent="0.6">
      <c r="A216" s="252"/>
      <c r="B216" s="274"/>
      <c r="C216" s="267" t="s">
        <v>2</v>
      </c>
      <c r="D216" s="261">
        <f>D$25</f>
        <v>12</v>
      </c>
      <c r="E216" s="268" t="s">
        <v>57</v>
      </c>
      <c r="F216" s="269">
        <f>F$25</f>
        <v>800</v>
      </c>
      <c r="G216" s="259" t="s">
        <v>58</v>
      </c>
      <c r="H216" s="259"/>
      <c r="I216" s="272">
        <f>CEILING(-D216*F216,10)</f>
        <v>-9600</v>
      </c>
      <c r="J216" s="271">
        <f t="shared" si="42"/>
        <v>-1.6</v>
      </c>
      <c r="K216" s="272">
        <f t="shared" si="43"/>
        <v>-9.6</v>
      </c>
      <c r="L216" s="252"/>
      <c r="M216" s="252"/>
      <c r="N216" s="252"/>
    </row>
    <row r="217" spans="1:14" ht="15.6" x14ac:dyDescent="0.6">
      <c r="A217" s="252"/>
      <c r="B217" s="66"/>
      <c r="C217" s="273"/>
      <c r="D217" s="273"/>
      <c r="E217" s="273"/>
      <c r="F217" s="273"/>
      <c r="G217" s="273"/>
      <c r="H217" s="273"/>
      <c r="I217" s="266">
        <f>SUM(I214:I216)</f>
        <v>-9600</v>
      </c>
      <c r="J217" s="179">
        <f t="shared" si="42"/>
        <v>-1.6</v>
      </c>
      <c r="K217" s="266">
        <f t="shared" si="43"/>
        <v>-9.6</v>
      </c>
      <c r="L217" s="252"/>
      <c r="M217" s="252"/>
      <c r="N217" s="252"/>
    </row>
    <row r="218" spans="1:14" ht="15.6" x14ac:dyDescent="0.6">
      <c r="A218" s="252"/>
      <c r="B218" s="275" t="s">
        <v>0</v>
      </c>
      <c r="C218" s="257"/>
      <c r="D218" s="257"/>
      <c r="E218" s="257"/>
      <c r="F218" s="257"/>
      <c r="G218" s="257"/>
      <c r="H218" s="257"/>
      <c r="I218" s="276">
        <f>I199+I212+I217</f>
        <v>611820</v>
      </c>
      <c r="J218" s="277">
        <f>J199+J212+J217</f>
        <v>101.97</v>
      </c>
      <c r="K218" s="278">
        <f>K199+K212+K217</f>
        <v>611.82000000000005</v>
      </c>
      <c r="L218" s="252"/>
      <c r="M218" s="252"/>
      <c r="N218" s="252"/>
    </row>
    <row r="219" spans="1:14" ht="15.6" x14ac:dyDescent="0.6">
      <c r="A219" s="252"/>
      <c r="B219" s="66" t="s">
        <v>23</v>
      </c>
      <c r="C219" s="259"/>
      <c r="D219" s="259"/>
      <c r="E219" s="259"/>
      <c r="F219" s="259"/>
      <c r="G219" s="259"/>
      <c r="H219" s="259"/>
      <c r="I219" s="198" t="s">
        <v>48</v>
      </c>
      <c r="J219" s="198" t="s">
        <v>49</v>
      </c>
      <c r="K219" s="198" t="s">
        <v>50</v>
      </c>
      <c r="L219" s="252"/>
      <c r="M219" s="252"/>
      <c r="N219" s="252"/>
    </row>
    <row r="220" spans="1:14" ht="15.6" x14ac:dyDescent="0.6">
      <c r="A220" s="252"/>
      <c r="B220" s="260" t="s">
        <v>3</v>
      </c>
      <c r="C220" s="259"/>
      <c r="D220" s="259"/>
      <c r="E220" s="259"/>
      <c r="F220" s="259"/>
      <c r="G220" s="259"/>
      <c r="L220" s="252"/>
      <c r="M220" s="252"/>
      <c r="N220" s="252"/>
    </row>
    <row r="221" spans="1:14" ht="15.6" x14ac:dyDescent="0.6">
      <c r="A221" s="252"/>
      <c r="B221" s="260"/>
      <c r="C221" s="259" t="s">
        <v>224</v>
      </c>
      <c r="D221" s="261">
        <f>D$15</f>
        <v>10185</v>
      </c>
      <c r="E221" s="262" t="s">
        <v>57</v>
      </c>
      <c r="F221" s="263">
        <f>F$30</f>
        <v>3.5</v>
      </c>
      <c r="G221" s="264" t="s">
        <v>204</v>
      </c>
      <c r="H221" s="259"/>
      <c r="I221" s="265">
        <f>CEILING(D221*F221,10)</f>
        <v>35650</v>
      </c>
      <c r="J221" s="179">
        <f>I221/$D$5</f>
        <v>5.9416666666666664</v>
      </c>
      <c r="K221" s="266">
        <f>I221/$D$4</f>
        <v>35.65</v>
      </c>
      <c r="L221" s="252"/>
      <c r="M221" s="252"/>
      <c r="N221" s="252"/>
    </row>
    <row r="222" spans="1:14" ht="15.6" x14ac:dyDescent="0.6">
      <c r="A222" s="252"/>
      <c r="B222" s="260"/>
      <c r="C222" s="259" t="s">
        <v>135</v>
      </c>
      <c r="D222" s="261">
        <f>D205</f>
        <v>5400</v>
      </c>
      <c r="E222" s="262" t="s">
        <v>57</v>
      </c>
      <c r="F222" s="263">
        <f>F$31</f>
        <v>3.5</v>
      </c>
      <c r="G222" s="264" t="s">
        <v>204</v>
      </c>
      <c r="H222" s="259"/>
      <c r="I222" s="265">
        <f>CEILING(D222*F222,10)</f>
        <v>18900</v>
      </c>
      <c r="J222" s="179">
        <f>I222/$D$5</f>
        <v>3.15</v>
      </c>
      <c r="K222" s="266">
        <f>I222/$D$4</f>
        <v>18.899999999999999</v>
      </c>
      <c r="L222" s="252"/>
      <c r="M222" s="252"/>
      <c r="N222" s="252"/>
    </row>
    <row r="223" spans="1:14" ht="15.6" x14ac:dyDescent="0.6">
      <c r="A223" s="252"/>
      <c r="B223" s="260" t="s">
        <v>97</v>
      </c>
      <c r="C223" s="259"/>
      <c r="D223" s="261">
        <f>D221</f>
        <v>10185</v>
      </c>
      <c r="E223" s="262" t="s">
        <v>57</v>
      </c>
      <c r="F223" s="263">
        <f>I223/D223</f>
        <v>0</v>
      </c>
      <c r="G223" s="264" t="s">
        <v>204</v>
      </c>
      <c r="H223" s="259"/>
      <c r="I223" s="265">
        <f>'Step 3'!G90</f>
        <v>0</v>
      </c>
      <c r="J223" s="179">
        <f t="shared" ref="J223:J227" si="44">I223/$D$5</f>
        <v>0</v>
      </c>
      <c r="K223" s="266">
        <f t="shared" ref="K223:K227" si="45">I223/$D$4</f>
        <v>0</v>
      </c>
      <c r="L223" s="252"/>
      <c r="M223" s="252"/>
      <c r="N223" s="252"/>
    </row>
    <row r="224" spans="1:14" ht="15.6" x14ac:dyDescent="0.6">
      <c r="A224" s="252"/>
      <c r="B224" s="260" t="s">
        <v>24</v>
      </c>
      <c r="C224" s="259"/>
      <c r="D224" s="261">
        <f>D221</f>
        <v>10185</v>
      </c>
      <c r="E224" s="262" t="str">
        <f>E221</f>
        <v>hd @</v>
      </c>
      <c r="F224" s="263">
        <f>F$33</f>
        <v>6.5</v>
      </c>
      <c r="G224" s="264" t="s">
        <v>204</v>
      </c>
      <c r="H224" s="259"/>
      <c r="I224" s="265">
        <f>CEILING(D224*F224,10)</f>
        <v>66210</v>
      </c>
      <c r="J224" s="179">
        <f t="shared" si="44"/>
        <v>11.035</v>
      </c>
      <c r="K224" s="266">
        <f t="shared" si="45"/>
        <v>66.209999999999994</v>
      </c>
      <c r="L224" s="252"/>
      <c r="M224" s="252"/>
      <c r="N224" s="252"/>
    </row>
    <row r="225" spans="1:14" ht="15.6" x14ac:dyDescent="0.6">
      <c r="A225" s="252"/>
      <c r="B225" s="260" t="s">
        <v>25</v>
      </c>
      <c r="C225" s="259"/>
      <c r="D225" s="279">
        <f>D199*F199/170</f>
        <v>224.47058823529412</v>
      </c>
      <c r="E225" s="262" t="s">
        <v>59</v>
      </c>
      <c r="F225" s="263">
        <f>F$34</f>
        <v>20</v>
      </c>
      <c r="G225" s="264" t="s">
        <v>60</v>
      </c>
      <c r="H225" s="259"/>
      <c r="I225" s="265">
        <f>CEILING(D225*F225,10)</f>
        <v>4490</v>
      </c>
      <c r="J225" s="179">
        <f t="shared" si="44"/>
        <v>0.74833333333333329</v>
      </c>
      <c r="K225" s="266">
        <f t="shared" si="45"/>
        <v>4.49</v>
      </c>
      <c r="L225" s="252"/>
      <c r="M225" s="252"/>
      <c r="N225" s="252"/>
    </row>
    <row r="226" spans="1:14" ht="15.6" x14ac:dyDescent="0.6">
      <c r="A226" s="252"/>
      <c r="B226" s="260" t="s">
        <v>26</v>
      </c>
      <c r="C226" s="259"/>
      <c r="D226" s="259"/>
      <c r="E226" s="259"/>
      <c r="F226" s="263">
        <f>F$35</f>
        <v>15</v>
      </c>
      <c r="G226" s="264" t="s">
        <v>60</v>
      </c>
      <c r="H226" s="259"/>
      <c r="I226" s="265">
        <f>CEILING(D225*F226,10)</f>
        <v>3370</v>
      </c>
      <c r="J226" s="179">
        <f t="shared" si="44"/>
        <v>0.56166666666666665</v>
      </c>
      <c r="K226" s="266">
        <f t="shared" si="45"/>
        <v>3.37</v>
      </c>
      <c r="L226" s="252"/>
      <c r="M226" s="252"/>
      <c r="N226" s="252"/>
    </row>
    <row r="227" spans="1:14" ht="15.6" x14ac:dyDescent="0.6">
      <c r="A227" s="252"/>
      <c r="B227" s="260" t="s">
        <v>27</v>
      </c>
      <c r="C227" s="259"/>
      <c r="D227" s="261">
        <f>D202+D203+D210+D211+D216</f>
        <v>5074</v>
      </c>
      <c r="E227" s="268" t="s">
        <v>57</v>
      </c>
      <c r="F227" s="263">
        <f>F$36</f>
        <v>2</v>
      </c>
      <c r="G227" s="264" t="s">
        <v>61</v>
      </c>
      <c r="H227" s="259"/>
      <c r="I227" s="265">
        <f>CEILING(D227*F227,10)</f>
        <v>10150</v>
      </c>
      <c r="J227" s="179">
        <f t="shared" si="44"/>
        <v>1.6916666666666667</v>
      </c>
      <c r="K227" s="266">
        <f t="shared" si="45"/>
        <v>10.15</v>
      </c>
      <c r="L227" s="252"/>
      <c r="M227" s="252"/>
      <c r="N227" s="252"/>
    </row>
    <row r="228" spans="1:14" ht="15.6" x14ac:dyDescent="0.6">
      <c r="A228" s="252"/>
      <c r="B228" s="275" t="s">
        <v>41</v>
      </c>
      <c r="C228" s="257"/>
      <c r="D228" s="257"/>
      <c r="E228" s="280"/>
      <c r="F228" s="257"/>
      <c r="G228" s="257"/>
      <c r="H228" s="257"/>
      <c r="I228" s="276">
        <f>SUM(I221:I227)</f>
        <v>138770</v>
      </c>
      <c r="J228" s="277">
        <f>SUM(J221:J227)</f>
        <v>23.128333333333334</v>
      </c>
      <c r="K228" s="278">
        <f>SUM(K221:K227)</f>
        <v>138.76999999999998</v>
      </c>
      <c r="L228" s="252"/>
      <c r="M228" s="252"/>
      <c r="N228" s="252"/>
    </row>
    <row r="229" spans="1:14" ht="15.6" x14ac:dyDescent="0.6">
      <c r="A229" s="252"/>
      <c r="B229" s="281" t="s">
        <v>62</v>
      </c>
      <c r="C229" s="257"/>
      <c r="D229" s="257"/>
      <c r="E229" s="280"/>
      <c r="F229" s="257"/>
      <c r="G229" s="257"/>
      <c r="H229" s="257"/>
      <c r="I229" s="276">
        <f>I218-I228</f>
        <v>473050</v>
      </c>
      <c r="J229" s="277">
        <f>J218-J228</f>
        <v>78.841666666666669</v>
      </c>
      <c r="K229" s="278">
        <f>K218-K228</f>
        <v>473.05000000000007</v>
      </c>
      <c r="L229" s="252"/>
      <c r="M229" s="252"/>
      <c r="N229" s="252"/>
    </row>
    <row r="230" spans="1:14" ht="15.6" x14ac:dyDescent="0.6">
      <c r="A230" s="252"/>
      <c r="B230" s="282"/>
      <c r="C230" s="255"/>
      <c r="D230" s="255"/>
      <c r="E230" s="255"/>
      <c r="F230" s="255"/>
      <c r="G230" s="255"/>
      <c r="H230" s="255"/>
      <c r="I230" s="255"/>
      <c r="J230" s="255"/>
      <c r="K230" s="255"/>
      <c r="L230" s="252"/>
      <c r="M230" s="252"/>
      <c r="N230" s="252"/>
    </row>
    <row r="231" spans="1:14" ht="18.3" x14ac:dyDescent="0.7">
      <c r="A231" s="252"/>
      <c r="B231" s="253" t="s">
        <v>269</v>
      </c>
      <c r="C231" s="252"/>
      <c r="D231" s="252"/>
      <c r="E231" s="252"/>
      <c r="F231" s="252"/>
      <c r="G231" s="252"/>
      <c r="H231" s="252"/>
      <c r="I231" s="252"/>
      <c r="J231" s="252"/>
      <c r="K231" s="252"/>
      <c r="L231" s="252"/>
      <c r="M231" s="252"/>
      <c r="N231" s="252"/>
    </row>
    <row r="232" spans="1:14" ht="17.7" x14ac:dyDescent="0.6">
      <c r="A232" s="252"/>
      <c r="B232" s="256"/>
      <c r="C232" s="257"/>
      <c r="D232" s="257"/>
      <c r="E232" s="257"/>
      <c r="F232" s="257"/>
      <c r="G232" s="257"/>
      <c r="H232" s="257"/>
      <c r="I232" s="258" t="s">
        <v>46</v>
      </c>
      <c r="J232" s="258" t="s">
        <v>78</v>
      </c>
      <c r="K232" s="258" t="s">
        <v>87</v>
      </c>
      <c r="L232" s="252"/>
      <c r="M232" s="252"/>
      <c r="N232" s="252"/>
    </row>
    <row r="233" spans="1:14" ht="15.6" x14ac:dyDescent="0.6">
      <c r="A233" s="252"/>
      <c r="B233" s="66" t="s">
        <v>18</v>
      </c>
      <c r="C233" s="259"/>
      <c r="D233" s="259"/>
      <c r="E233" s="259"/>
      <c r="F233" s="259"/>
      <c r="G233" s="259"/>
      <c r="H233" s="259"/>
      <c r="I233" s="198" t="s">
        <v>48</v>
      </c>
      <c r="J233" s="198" t="s">
        <v>49</v>
      </c>
      <c r="K233" s="198" t="s">
        <v>50</v>
      </c>
      <c r="L233" s="252"/>
      <c r="M233" s="252"/>
      <c r="N233" s="252"/>
    </row>
    <row r="234" spans="1:14" ht="15.6" x14ac:dyDescent="0.6">
      <c r="A234" s="252"/>
      <c r="B234" s="260" t="s">
        <v>4</v>
      </c>
      <c r="C234" s="259"/>
      <c r="D234" s="261">
        <f>$D$11</f>
        <v>6000</v>
      </c>
      <c r="E234" s="288" t="s">
        <v>212</v>
      </c>
      <c r="F234" s="325">
        <f>K48</f>
        <v>6.36</v>
      </c>
      <c r="G234" s="263">
        <f>L48</f>
        <v>9</v>
      </c>
      <c r="H234" s="264" t="s">
        <v>47</v>
      </c>
      <c r="I234" s="265">
        <f>CEILING(D234*F234*G234,10)</f>
        <v>343440</v>
      </c>
      <c r="J234" s="179">
        <f>I234/$D$5</f>
        <v>57.24</v>
      </c>
      <c r="K234" s="266">
        <f>I234/$D$4</f>
        <v>343.44</v>
      </c>
      <c r="L234" s="252"/>
      <c r="M234" s="252"/>
      <c r="N234" s="252"/>
    </row>
    <row r="235" spans="1:14" ht="15.6" x14ac:dyDescent="0.6">
      <c r="A235" s="252"/>
      <c r="B235" s="260"/>
      <c r="C235" s="259"/>
      <c r="D235" s="261"/>
      <c r="E235" s="314" t="s">
        <v>214</v>
      </c>
      <c r="F235" s="289"/>
      <c r="G235" s="263"/>
      <c r="H235" s="264"/>
      <c r="I235" s="265"/>
      <c r="J235" s="179"/>
      <c r="K235" s="266"/>
      <c r="L235" s="252"/>
      <c r="M235" s="252"/>
      <c r="N235" s="252"/>
    </row>
    <row r="236" spans="1:14" ht="15.6" x14ac:dyDescent="0.6">
      <c r="A236" s="252"/>
      <c r="B236" s="260" t="s">
        <v>22</v>
      </c>
      <c r="C236" s="259"/>
      <c r="D236" s="261"/>
      <c r="E236" s="327" t="s">
        <v>225</v>
      </c>
      <c r="F236" s="259"/>
      <c r="G236" s="259"/>
      <c r="H236" s="259"/>
      <c r="I236" s="265"/>
      <c r="J236" s="265"/>
      <c r="K236" s="265"/>
      <c r="L236" s="252"/>
      <c r="M236" s="252"/>
      <c r="N236" s="252"/>
    </row>
    <row r="237" spans="1:14" ht="15.6" x14ac:dyDescent="0.6">
      <c r="A237" s="252"/>
      <c r="B237" s="66"/>
      <c r="C237" s="267" t="s">
        <v>19</v>
      </c>
      <c r="D237" s="261">
        <f>D$17+D$11*'Step 3'!G144</f>
        <v>900</v>
      </c>
      <c r="E237" s="328">
        <f>-(D$17-D237)/D$17</f>
        <v>0</v>
      </c>
      <c r="F237" s="346">
        <f>G48</f>
        <v>40</v>
      </c>
      <c r="G237" s="259" t="s">
        <v>55</v>
      </c>
      <c r="H237" s="252"/>
      <c r="I237" s="265">
        <f>CEILING(D237*F237,10)</f>
        <v>36000</v>
      </c>
      <c r="J237" s="179">
        <f t="shared" ref="J237:J238" si="46">I237/$D$5</f>
        <v>6</v>
      </c>
      <c r="K237" s="266">
        <f t="shared" ref="K237:K238" si="47">I237/$D$4</f>
        <v>36</v>
      </c>
      <c r="L237" s="252"/>
      <c r="M237" s="252"/>
      <c r="N237" s="252"/>
    </row>
    <row r="238" spans="1:14" ht="15.6" x14ac:dyDescent="0.6">
      <c r="A238" s="252"/>
      <c r="B238" s="66"/>
      <c r="C238" s="267" t="s">
        <v>215</v>
      </c>
      <c r="D238" s="261">
        <f>D$18+D$12*'Step 3'!G144</f>
        <v>375</v>
      </c>
      <c r="E238" s="328">
        <f>-(D$18-D238)/D$18</f>
        <v>0</v>
      </c>
      <c r="F238" s="346">
        <f>H48</f>
        <v>40</v>
      </c>
      <c r="G238" s="259" t="s">
        <v>55</v>
      </c>
      <c r="H238" s="252"/>
      <c r="I238" s="265">
        <f>CEILING(D238*F238,10)</f>
        <v>15000</v>
      </c>
      <c r="J238" s="179">
        <f t="shared" si="46"/>
        <v>2.5</v>
      </c>
      <c r="K238" s="266">
        <f t="shared" si="47"/>
        <v>15</v>
      </c>
      <c r="L238" s="252"/>
      <c r="M238" s="252"/>
      <c r="N238" s="252"/>
    </row>
    <row r="239" spans="1:14" ht="15.6" x14ac:dyDescent="0.6">
      <c r="A239" s="252"/>
      <c r="B239" s="66"/>
      <c r="C239" s="267" t="s">
        <v>20</v>
      </c>
      <c r="D239" s="261"/>
      <c r="E239" s="326"/>
      <c r="F239" s="326"/>
      <c r="G239" s="326"/>
      <c r="H239" s="326"/>
      <c r="I239" s="127"/>
      <c r="J239" s="127"/>
      <c r="K239" s="127"/>
      <c r="L239" s="252"/>
      <c r="M239" s="252"/>
      <c r="N239" s="252"/>
    </row>
    <row r="240" spans="1:14" ht="15.6" x14ac:dyDescent="0.6">
      <c r="A240" s="252"/>
      <c r="B240" s="66"/>
      <c r="C240" s="273" t="s">
        <v>216</v>
      </c>
      <c r="D240" s="261">
        <f>D$59*D48</f>
        <v>5400</v>
      </c>
      <c r="E240" s="326"/>
      <c r="F240" s="269"/>
      <c r="G240" s="259"/>
      <c r="H240" s="252"/>
      <c r="I240" s="265"/>
      <c r="J240" s="179"/>
      <c r="K240" s="266"/>
      <c r="L240" s="252"/>
      <c r="M240" s="252"/>
      <c r="N240" s="252"/>
    </row>
    <row r="241" spans="1:14" ht="15.6" x14ac:dyDescent="0.6">
      <c r="A241" s="252"/>
      <c r="B241" s="66"/>
      <c r="C241" s="273" t="s">
        <v>98</v>
      </c>
      <c r="D241" s="261">
        <f>-D$11*E48</f>
        <v>-300</v>
      </c>
      <c r="E241" s="326"/>
      <c r="F241" s="269"/>
      <c r="G241" s="259"/>
      <c r="H241" s="252"/>
      <c r="I241" s="265"/>
      <c r="J241" s="179"/>
      <c r="K241" s="266"/>
      <c r="L241" s="252"/>
      <c r="M241" s="252"/>
      <c r="N241" s="252"/>
    </row>
    <row r="242" spans="1:14" ht="15.6" x14ac:dyDescent="0.6">
      <c r="A242" s="252"/>
      <c r="B242" s="66"/>
      <c r="C242" s="273" t="s">
        <v>222</v>
      </c>
      <c r="D242" s="261">
        <f>-D237</f>
        <v>-900</v>
      </c>
      <c r="E242" s="326"/>
      <c r="F242" s="269"/>
      <c r="G242" s="259"/>
      <c r="H242" s="252"/>
      <c r="I242" s="265"/>
      <c r="J242" s="179"/>
      <c r="K242" s="266"/>
      <c r="L242" s="252"/>
      <c r="M242" s="252"/>
      <c r="N242" s="252"/>
    </row>
    <row r="243" spans="1:14" ht="15.6" x14ac:dyDescent="0.6">
      <c r="A243" s="252"/>
      <c r="B243" s="66"/>
      <c r="C243" s="273" t="s">
        <v>210</v>
      </c>
      <c r="D243" s="261">
        <f>-D$12*F48</f>
        <v>-50</v>
      </c>
      <c r="E243" s="326"/>
      <c r="F243" s="269"/>
      <c r="G243" s="259"/>
      <c r="H243" s="252"/>
      <c r="I243" s="265"/>
      <c r="J243" s="179"/>
      <c r="K243" s="266"/>
      <c r="L243" s="252"/>
      <c r="M243" s="252"/>
      <c r="N243" s="252"/>
    </row>
    <row r="244" spans="1:14" ht="15.6" x14ac:dyDescent="0.6">
      <c r="A244" s="252"/>
      <c r="B244" s="66"/>
      <c r="C244" s="273" t="s">
        <v>217</v>
      </c>
      <c r="D244" s="285">
        <f>-D238</f>
        <v>-375</v>
      </c>
      <c r="E244" s="326"/>
      <c r="F244" s="269"/>
      <c r="G244" s="259"/>
      <c r="H244" s="252"/>
      <c r="I244" s="265"/>
      <c r="J244" s="179"/>
      <c r="K244" s="266"/>
      <c r="L244" s="252"/>
      <c r="M244" s="252"/>
      <c r="N244" s="252"/>
    </row>
    <row r="245" spans="1:14" ht="15.6" x14ac:dyDescent="0.6">
      <c r="A245" s="252"/>
      <c r="B245" s="66"/>
      <c r="C245" s="267"/>
      <c r="D245" s="261">
        <f>SUM(D240:D244)</f>
        <v>3775</v>
      </c>
      <c r="E245" s="329">
        <f>-(D$19-D245)/D$19</f>
        <v>0</v>
      </c>
      <c r="F245" s="263">
        <f>I48</f>
        <v>60</v>
      </c>
      <c r="G245" s="259" t="s">
        <v>55</v>
      </c>
      <c r="H245" s="252"/>
      <c r="I245" s="265">
        <f>D245*F245</f>
        <v>226500</v>
      </c>
      <c r="J245" s="179">
        <f>I245/$D$5</f>
        <v>37.75</v>
      </c>
      <c r="K245" s="266">
        <f>I245/$D$4</f>
        <v>226.5</v>
      </c>
      <c r="L245" s="252"/>
      <c r="M245" s="252"/>
      <c r="N245" s="252"/>
    </row>
    <row r="246" spans="1:14" ht="15.6" x14ac:dyDescent="0.6">
      <c r="A246" s="252"/>
      <c r="B246" s="66"/>
      <c r="C246" s="267" t="s">
        <v>21</v>
      </c>
      <c r="D246" s="261">
        <f>D$25</f>
        <v>12</v>
      </c>
      <c r="E246" s="268" t="s">
        <v>57</v>
      </c>
      <c r="F246" s="263">
        <f>J48</f>
        <v>40</v>
      </c>
      <c r="G246" s="259" t="s">
        <v>55</v>
      </c>
      <c r="H246" s="252"/>
      <c r="I246" s="270">
        <f>CEILING(D246*F246,10)</f>
        <v>480</v>
      </c>
      <c r="J246" s="271">
        <f t="shared" ref="J246" si="48">I246/$D$5</f>
        <v>0.08</v>
      </c>
      <c r="K246" s="272">
        <f t="shared" ref="K246:K247" si="49">I246/$D$4</f>
        <v>0.48</v>
      </c>
      <c r="L246" s="252"/>
      <c r="M246" s="252"/>
      <c r="N246" s="252"/>
    </row>
    <row r="247" spans="1:14" ht="15.6" x14ac:dyDescent="0.6">
      <c r="A247" s="252"/>
      <c r="B247" s="66"/>
      <c r="C247" s="267"/>
      <c r="D247" s="267"/>
      <c r="E247" s="268"/>
      <c r="F247" s="268"/>
      <c r="G247" s="259"/>
      <c r="H247" s="259"/>
      <c r="I247" s="265">
        <f>SUM(I237:I246)</f>
        <v>277980</v>
      </c>
      <c r="J247" s="179">
        <f>I247/$D$5</f>
        <v>46.33</v>
      </c>
      <c r="K247" s="266">
        <f t="shared" si="49"/>
        <v>277.98</v>
      </c>
      <c r="L247" s="252"/>
      <c r="M247" s="252"/>
      <c r="N247" s="252"/>
    </row>
    <row r="248" spans="1:14" ht="15.6" x14ac:dyDescent="0.6">
      <c r="A248" s="252"/>
      <c r="B248" s="260" t="s">
        <v>28</v>
      </c>
      <c r="C248" s="273"/>
      <c r="D248" s="273"/>
      <c r="E248" s="268"/>
      <c r="F248" s="268"/>
      <c r="G248" s="259"/>
      <c r="H248" s="259"/>
      <c r="I248" s="265"/>
      <c r="J248" s="265"/>
      <c r="K248" s="265"/>
      <c r="L248" s="252"/>
      <c r="M248" s="252"/>
      <c r="N248" s="252"/>
    </row>
    <row r="249" spans="1:14" ht="15.6" x14ac:dyDescent="0.6">
      <c r="A249" s="252"/>
      <c r="B249" s="274"/>
      <c r="C249" s="267" t="s">
        <v>1</v>
      </c>
      <c r="D249" s="261" t="s">
        <v>99</v>
      </c>
      <c r="E249" s="268"/>
      <c r="F249" s="268"/>
      <c r="G249" s="259"/>
      <c r="H249" s="259"/>
      <c r="I249" s="266">
        <v>0</v>
      </c>
      <c r="J249" s="179">
        <f t="shared" ref="J249:J252" si="50">I249/$D$5</f>
        <v>0</v>
      </c>
      <c r="K249" s="266">
        <f t="shared" ref="K249:K252" si="51">I249/$D$4</f>
        <v>0</v>
      </c>
      <c r="L249" s="252"/>
      <c r="M249" s="252"/>
      <c r="N249" s="252"/>
    </row>
    <row r="250" spans="1:14" ht="15.6" x14ac:dyDescent="0.6">
      <c r="A250" s="252"/>
      <c r="B250" s="274"/>
      <c r="C250" s="267" t="s">
        <v>133</v>
      </c>
      <c r="D250" s="261" t="s">
        <v>134</v>
      </c>
      <c r="E250" s="268"/>
      <c r="F250" s="268"/>
      <c r="G250" s="259"/>
      <c r="H250" s="259"/>
      <c r="I250" s="266">
        <v>0</v>
      </c>
      <c r="J250" s="179">
        <f t="shared" si="50"/>
        <v>0</v>
      </c>
      <c r="K250" s="266">
        <f t="shared" si="51"/>
        <v>0</v>
      </c>
      <c r="L250" s="252"/>
      <c r="M250" s="252"/>
      <c r="N250" s="252"/>
    </row>
    <row r="251" spans="1:14" ht="15.6" x14ac:dyDescent="0.6">
      <c r="A251" s="252"/>
      <c r="B251" s="274"/>
      <c r="C251" s="267" t="s">
        <v>2</v>
      </c>
      <c r="D251" s="261">
        <f>D$25</f>
        <v>12</v>
      </c>
      <c r="E251" s="268" t="s">
        <v>57</v>
      </c>
      <c r="F251" s="269">
        <f>F$25</f>
        <v>800</v>
      </c>
      <c r="G251" s="259" t="s">
        <v>58</v>
      </c>
      <c r="H251" s="259"/>
      <c r="I251" s="272">
        <f>CEILING(-D251*F251,10)</f>
        <v>-9600</v>
      </c>
      <c r="J251" s="271">
        <f t="shared" si="50"/>
        <v>-1.6</v>
      </c>
      <c r="K251" s="272">
        <f t="shared" si="51"/>
        <v>-9.6</v>
      </c>
      <c r="L251" s="252"/>
      <c r="M251" s="252"/>
      <c r="N251" s="252"/>
    </row>
    <row r="252" spans="1:14" ht="15.6" x14ac:dyDescent="0.6">
      <c r="A252" s="252"/>
      <c r="B252" s="66"/>
      <c r="C252" s="273"/>
      <c r="D252" s="273"/>
      <c r="E252" s="273"/>
      <c r="F252" s="273"/>
      <c r="G252" s="273"/>
      <c r="H252" s="273"/>
      <c r="I252" s="266">
        <f>SUM(I249:I251)</f>
        <v>-9600</v>
      </c>
      <c r="J252" s="179">
        <f t="shared" si="50"/>
        <v>-1.6</v>
      </c>
      <c r="K252" s="266">
        <f t="shared" si="51"/>
        <v>-9.6</v>
      </c>
      <c r="L252" s="252"/>
      <c r="M252" s="252"/>
      <c r="N252" s="252"/>
    </row>
    <row r="253" spans="1:14" ht="15.6" x14ac:dyDescent="0.6">
      <c r="A253" s="252"/>
      <c r="B253" s="275" t="s">
        <v>0</v>
      </c>
      <c r="C253" s="257"/>
      <c r="D253" s="257"/>
      <c r="E253" s="257"/>
      <c r="F253" s="257"/>
      <c r="G253" s="257"/>
      <c r="H253" s="257"/>
      <c r="I253" s="276">
        <f>I234+I247+I252</f>
        <v>611820</v>
      </c>
      <c r="J253" s="277">
        <f>J234+J247+J252</f>
        <v>101.97</v>
      </c>
      <c r="K253" s="278">
        <f>K234+K247+K252</f>
        <v>611.82000000000005</v>
      </c>
      <c r="L253" s="252"/>
      <c r="M253" s="252"/>
      <c r="N253" s="252"/>
    </row>
    <row r="254" spans="1:14" ht="15.6" x14ac:dyDescent="0.6">
      <c r="A254" s="252"/>
      <c r="B254" s="66" t="s">
        <v>23</v>
      </c>
      <c r="C254" s="259"/>
      <c r="D254" s="259"/>
      <c r="E254" s="259"/>
      <c r="F254" s="259"/>
      <c r="G254" s="259"/>
      <c r="H254" s="259"/>
      <c r="I254" s="198" t="s">
        <v>48</v>
      </c>
      <c r="J254" s="198" t="s">
        <v>49</v>
      </c>
      <c r="K254" s="198" t="s">
        <v>50</v>
      </c>
      <c r="L254" s="252"/>
      <c r="M254" s="252"/>
      <c r="N254" s="252"/>
    </row>
    <row r="255" spans="1:14" ht="15.6" x14ac:dyDescent="0.6">
      <c r="A255" s="252"/>
      <c r="B255" s="260" t="s">
        <v>3</v>
      </c>
      <c r="C255" s="259"/>
      <c r="D255" s="259"/>
      <c r="E255" s="259"/>
      <c r="F255" s="259"/>
      <c r="G255" s="259"/>
      <c r="L255" s="252"/>
      <c r="M255" s="252"/>
      <c r="N255" s="252"/>
    </row>
    <row r="256" spans="1:14" ht="15.6" x14ac:dyDescent="0.6">
      <c r="A256" s="252"/>
      <c r="B256" s="260"/>
      <c r="C256" s="259" t="s">
        <v>224</v>
      </c>
      <c r="D256" s="261">
        <f>D$15</f>
        <v>10185</v>
      </c>
      <c r="E256" s="262" t="s">
        <v>57</v>
      </c>
      <c r="F256" s="263">
        <f>F$30</f>
        <v>3.5</v>
      </c>
      <c r="G256" s="264" t="s">
        <v>204</v>
      </c>
      <c r="H256" s="259"/>
      <c r="I256" s="265">
        <f>CEILING(D256*F256,10)</f>
        <v>35650</v>
      </c>
      <c r="J256" s="179">
        <f>I256/$D$5</f>
        <v>5.9416666666666664</v>
      </c>
      <c r="K256" s="266">
        <f>I256/$D$4</f>
        <v>35.65</v>
      </c>
      <c r="L256" s="252"/>
      <c r="M256" s="252"/>
      <c r="N256" s="252"/>
    </row>
    <row r="257" spans="1:14" ht="15.6" x14ac:dyDescent="0.6">
      <c r="A257" s="252"/>
      <c r="B257" s="260"/>
      <c r="C257" s="259" t="s">
        <v>135</v>
      </c>
      <c r="D257" s="261">
        <f>D240</f>
        <v>5400</v>
      </c>
      <c r="E257" s="262" t="s">
        <v>57</v>
      </c>
      <c r="F257" s="263">
        <f>F$31</f>
        <v>3.5</v>
      </c>
      <c r="G257" s="264" t="s">
        <v>204</v>
      </c>
      <c r="H257" s="259"/>
      <c r="I257" s="265">
        <f>CEILING(D257*F257,10)</f>
        <v>18900</v>
      </c>
      <c r="J257" s="179">
        <f>I257/$D$5</f>
        <v>3.15</v>
      </c>
      <c r="K257" s="266">
        <f>I257/$D$4</f>
        <v>18.899999999999999</v>
      </c>
      <c r="L257" s="252"/>
      <c r="M257" s="252"/>
      <c r="N257" s="252"/>
    </row>
    <row r="258" spans="1:14" ht="15.6" x14ac:dyDescent="0.6">
      <c r="A258" s="252"/>
      <c r="B258" s="260" t="s">
        <v>97</v>
      </c>
      <c r="C258" s="259"/>
      <c r="D258" s="261">
        <f>D256</f>
        <v>10185</v>
      </c>
      <c r="E258" s="262" t="s">
        <v>57</v>
      </c>
      <c r="F258" s="263">
        <f>I258/D258</f>
        <v>0</v>
      </c>
      <c r="G258" s="264" t="s">
        <v>204</v>
      </c>
      <c r="H258" s="259"/>
      <c r="I258" s="265">
        <f>'Step 3'!G91</f>
        <v>0</v>
      </c>
      <c r="J258" s="179">
        <f t="shared" ref="J258:J262" si="52">I258/$D$5</f>
        <v>0</v>
      </c>
      <c r="K258" s="266">
        <f t="shared" ref="K258:K262" si="53">I258/$D$4</f>
        <v>0</v>
      </c>
      <c r="L258" s="252"/>
      <c r="M258" s="252"/>
      <c r="N258" s="252"/>
    </row>
    <row r="259" spans="1:14" ht="15.6" x14ac:dyDescent="0.6">
      <c r="A259" s="252"/>
      <c r="B259" s="260" t="s">
        <v>24</v>
      </c>
      <c r="C259" s="259"/>
      <c r="D259" s="261">
        <f>D256</f>
        <v>10185</v>
      </c>
      <c r="E259" s="262" t="str">
        <f>E256</f>
        <v>hd @</v>
      </c>
      <c r="F259" s="263">
        <f>F$33</f>
        <v>6.5</v>
      </c>
      <c r="G259" s="264" t="s">
        <v>204</v>
      </c>
      <c r="H259" s="259"/>
      <c r="I259" s="265">
        <f>CEILING(D259*F259,10)</f>
        <v>66210</v>
      </c>
      <c r="J259" s="179">
        <f t="shared" si="52"/>
        <v>11.035</v>
      </c>
      <c r="K259" s="266">
        <f t="shared" si="53"/>
        <v>66.209999999999994</v>
      </c>
      <c r="L259" s="252"/>
      <c r="M259" s="252"/>
      <c r="N259" s="252"/>
    </row>
    <row r="260" spans="1:14" ht="15.6" x14ac:dyDescent="0.6">
      <c r="A260" s="252"/>
      <c r="B260" s="260" t="s">
        <v>25</v>
      </c>
      <c r="C260" s="259"/>
      <c r="D260" s="279">
        <f>D234*F234/170</f>
        <v>224.47058823529412</v>
      </c>
      <c r="E260" s="262" t="s">
        <v>59</v>
      </c>
      <c r="F260" s="263">
        <f>F$34</f>
        <v>20</v>
      </c>
      <c r="G260" s="264" t="s">
        <v>60</v>
      </c>
      <c r="H260" s="259"/>
      <c r="I260" s="265">
        <f>CEILING(D260*F260,10)</f>
        <v>4490</v>
      </c>
      <c r="J260" s="179">
        <f t="shared" si="52"/>
        <v>0.74833333333333329</v>
      </c>
      <c r="K260" s="266">
        <f t="shared" si="53"/>
        <v>4.49</v>
      </c>
      <c r="L260" s="252"/>
      <c r="M260" s="252"/>
      <c r="N260" s="252"/>
    </row>
    <row r="261" spans="1:14" ht="15.6" x14ac:dyDescent="0.6">
      <c r="A261" s="252"/>
      <c r="B261" s="260" t="s">
        <v>26</v>
      </c>
      <c r="C261" s="259"/>
      <c r="D261" s="259"/>
      <c r="E261" s="259"/>
      <c r="F261" s="263">
        <f>F$35</f>
        <v>15</v>
      </c>
      <c r="G261" s="264" t="s">
        <v>60</v>
      </c>
      <c r="H261" s="259"/>
      <c r="I261" s="265">
        <f>CEILING(D260*F261,10)</f>
        <v>3370</v>
      </c>
      <c r="J261" s="179">
        <f t="shared" si="52"/>
        <v>0.56166666666666665</v>
      </c>
      <c r="K261" s="266">
        <f t="shared" si="53"/>
        <v>3.37</v>
      </c>
      <c r="L261" s="252"/>
      <c r="M261" s="252"/>
      <c r="N261" s="252"/>
    </row>
    <row r="262" spans="1:14" ht="15.6" x14ac:dyDescent="0.6">
      <c r="A262" s="252"/>
      <c r="B262" s="260" t="s">
        <v>27</v>
      </c>
      <c r="C262" s="259"/>
      <c r="D262" s="261">
        <f>D237+D238+D245+D246+D251</f>
        <v>5074</v>
      </c>
      <c r="E262" s="268" t="s">
        <v>57</v>
      </c>
      <c r="F262" s="263">
        <f>F$36</f>
        <v>2</v>
      </c>
      <c r="G262" s="264" t="s">
        <v>61</v>
      </c>
      <c r="H262" s="259"/>
      <c r="I262" s="265">
        <f>CEILING(D262*F262,10)</f>
        <v>10150</v>
      </c>
      <c r="J262" s="179">
        <f t="shared" si="52"/>
        <v>1.6916666666666667</v>
      </c>
      <c r="K262" s="266">
        <f t="shared" si="53"/>
        <v>10.15</v>
      </c>
      <c r="L262" s="252"/>
      <c r="M262" s="252"/>
      <c r="N262" s="252"/>
    </row>
    <row r="263" spans="1:14" ht="15.6" x14ac:dyDescent="0.6">
      <c r="A263" s="252"/>
      <c r="B263" s="275" t="s">
        <v>41</v>
      </c>
      <c r="C263" s="257"/>
      <c r="D263" s="257"/>
      <c r="E263" s="280"/>
      <c r="F263" s="257"/>
      <c r="G263" s="257"/>
      <c r="H263" s="257"/>
      <c r="I263" s="276">
        <f>SUM(I256:I262)</f>
        <v>138770</v>
      </c>
      <c r="J263" s="277">
        <f>SUM(J256:J262)</f>
        <v>23.128333333333334</v>
      </c>
      <c r="K263" s="278">
        <f>SUM(K256:K262)</f>
        <v>138.76999999999998</v>
      </c>
      <c r="L263" s="252"/>
      <c r="M263" s="252"/>
      <c r="N263" s="252"/>
    </row>
    <row r="264" spans="1:14" ht="15.6" x14ac:dyDescent="0.6">
      <c r="A264" s="252"/>
      <c r="B264" s="281" t="s">
        <v>62</v>
      </c>
      <c r="C264" s="257"/>
      <c r="D264" s="257"/>
      <c r="E264" s="280"/>
      <c r="F264" s="257"/>
      <c r="G264" s="257"/>
      <c r="H264" s="257"/>
      <c r="I264" s="276">
        <f>I253-I263</f>
        <v>473050</v>
      </c>
      <c r="J264" s="277">
        <f>J253-J263</f>
        <v>78.841666666666669</v>
      </c>
      <c r="K264" s="278">
        <f>K253-K263</f>
        <v>473.05000000000007</v>
      </c>
      <c r="L264" s="252"/>
      <c r="M264" s="252"/>
      <c r="N264" s="252"/>
    </row>
    <row r="265" spans="1:14" ht="15.6" x14ac:dyDescent="0.6">
      <c r="A265" s="252"/>
      <c r="B265" s="282"/>
      <c r="C265" s="255"/>
      <c r="D265" s="255"/>
      <c r="E265" s="255"/>
      <c r="F265" s="255"/>
      <c r="G265" s="255"/>
      <c r="H265" s="255"/>
      <c r="I265" s="255"/>
      <c r="J265" s="255"/>
      <c r="K265" s="255"/>
      <c r="L265" s="252"/>
      <c r="M265" s="252"/>
      <c r="N265" s="252"/>
    </row>
    <row r="266" spans="1:14" ht="18.3" x14ac:dyDescent="0.7">
      <c r="A266" s="252"/>
      <c r="B266" s="253" t="s">
        <v>270</v>
      </c>
      <c r="C266" s="252"/>
      <c r="D266" s="252"/>
      <c r="E266" s="252"/>
      <c r="F266" s="252"/>
      <c r="G266" s="252"/>
      <c r="H266" s="252"/>
      <c r="I266" s="252"/>
      <c r="J266" s="252"/>
      <c r="K266" s="252"/>
      <c r="L266" s="252"/>
      <c r="M266" s="252"/>
      <c r="N266" s="252"/>
    </row>
    <row r="267" spans="1:14" ht="17.7" x14ac:dyDescent="0.6">
      <c r="A267" s="252"/>
      <c r="B267" s="256"/>
      <c r="C267" s="257"/>
      <c r="D267" s="257"/>
      <c r="E267" s="257"/>
      <c r="F267" s="257"/>
      <c r="G267" s="257"/>
      <c r="H267" s="257"/>
      <c r="I267" s="258" t="s">
        <v>46</v>
      </c>
      <c r="J267" s="258" t="s">
        <v>78</v>
      </c>
      <c r="K267" s="258" t="s">
        <v>87</v>
      </c>
      <c r="L267" s="252"/>
      <c r="M267" s="252"/>
      <c r="N267" s="252"/>
    </row>
    <row r="268" spans="1:14" ht="15.6" x14ac:dyDescent="0.6">
      <c r="A268" s="252"/>
      <c r="B268" s="66" t="s">
        <v>18</v>
      </c>
      <c r="C268" s="259"/>
      <c r="D268" s="259"/>
      <c r="E268" s="259"/>
      <c r="F268" s="259"/>
      <c r="G268" s="259"/>
      <c r="H268" s="259"/>
      <c r="I268" s="198" t="s">
        <v>48</v>
      </c>
      <c r="J268" s="198" t="s">
        <v>49</v>
      </c>
      <c r="K268" s="198" t="s">
        <v>50</v>
      </c>
      <c r="L268" s="252"/>
      <c r="M268" s="252"/>
      <c r="N268" s="252"/>
    </row>
    <row r="269" spans="1:14" ht="15.6" x14ac:dyDescent="0.6">
      <c r="A269" s="252"/>
      <c r="B269" s="260" t="s">
        <v>4</v>
      </c>
      <c r="C269" s="259"/>
      <c r="D269" s="261">
        <f>$D$11</f>
        <v>6000</v>
      </c>
      <c r="E269" s="288" t="s">
        <v>212</v>
      </c>
      <c r="F269" s="325">
        <f>K49</f>
        <v>6.36</v>
      </c>
      <c r="G269" s="263">
        <f>L49</f>
        <v>9</v>
      </c>
      <c r="H269" s="264" t="s">
        <v>47</v>
      </c>
      <c r="I269" s="265">
        <f>CEILING(D269*F269*G269,10)</f>
        <v>343440</v>
      </c>
      <c r="J269" s="179">
        <f>I269/$D$5</f>
        <v>57.24</v>
      </c>
      <c r="K269" s="266">
        <f>I269/$D$4</f>
        <v>343.44</v>
      </c>
      <c r="L269" s="252"/>
      <c r="M269" s="252"/>
      <c r="N269" s="252"/>
    </row>
    <row r="270" spans="1:14" ht="15.6" x14ac:dyDescent="0.6">
      <c r="A270" s="252"/>
      <c r="B270" s="260"/>
      <c r="C270" s="259"/>
      <c r="D270" s="261"/>
      <c r="E270" s="314" t="s">
        <v>214</v>
      </c>
      <c r="F270" s="289"/>
      <c r="G270" s="263"/>
      <c r="H270" s="264"/>
      <c r="I270" s="265"/>
      <c r="J270" s="179"/>
      <c r="K270" s="266"/>
      <c r="L270" s="252"/>
      <c r="M270" s="252"/>
      <c r="N270" s="252"/>
    </row>
    <row r="271" spans="1:14" ht="15.6" x14ac:dyDescent="0.6">
      <c r="A271" s="252"/>
      <c r="B271" s="260" t="s">
        <v>22</v>
      </c>
      <c r="C271" s="259"/>
      <c r="D271" s="261"/>
      <c r="E271" s="327" t="s">
        <v>225</v>
      </c>
      <c r="F271" s="259"/>
      <c r="G271" s="259"/>
      <c r="H271" s="259"/>
      <c r="I271" s="265"/>
      <c r="J271" s="265"/>
      <c r="K271" s="265"/>
      <c r="L271" s="252"/>
      <c r="M271" s="252"/>
      <c r="N271" s="252"/>
    </row>
    <row r="272" spans="1:14" ht="15.6" x14ac:dyDescent="0.6">
      <c r="A272" s="252"/>
      <c r="B272" s="66"/>
      <c r="C272" s="267" t="s">
        <v>19</v>
      </c>
      <c r="D272" s="261">
        <f>D$17+D$11*'Step 3'!G145</f>
        <v>900</v>
      </c>
      <c r="E272" s="328">
        <f>-(D$17-D272)/D$17</f>
        <v>0</v>
      </c>
      <c r="F272" s="346">
        <f>G49</f>
        <v>40</v>
      </c>
      <c r="G272" s="259" t="s">
        <v>55</v>
      </c>
      <c r="H272" s="252"/>
      <c r="I272" s="265">
        <f>CEILING(D272*F272,10)</f>
        <v>36000</v>
      </c>
      <c r="J272" s="179">
        <f t="shared" ref="J272:J273" si="54">I272/$D$5</f>
        <v>6</v>
      </c>
      <c r="K272" s="266">
        <f t="shared" ref="K272:K273" si="55">I272/$D$4</f>
        <v>36</v>
      </c>
      <c r="L272" s="252"/>
      <c r="M272" s="252"/>
      <c r="N272" s="252"/>
    </row>
    <row r="273" spans="1:14" ht="15.6" x14ac:dyDescent="0.6">
      <c r="A273" s="252"/>
      <c r="B273" s="66"/>
      <c r="C273" s="267" t="s">
        <v>215</v>
      </c>
      <c r="D273" s="261">
        <f>D$18+D$12*'Step 3'!G45</f>
        <v>375</v>
      </c>
      <c r="E273" s="328">
        <f>-(D$18-D273)/D$18</f>
        <v>0</v>
      </c>
      <c r="F273" s="346">
        <f>H49</f>
        <v>40</v>
      </c>
      <c r="G273" s="259" t="s">
        <v>55</v>
      </c>
      <c r="H273" s="252"/>
      <c r="I273" s="265">
        <f>CEILING(D273*F273,10)</f>
        <v>15000</v>
      </c>
      <c r="J273" s="179">
        <f t="shared" si="54"/>
        <v>2.5</v>
      </c>
      <c r="K273" s="266">
        <f t="shared" si="55"/>
        <v>15</v>
      </c>
      <c r="L273" s="252"/>
      <c r="M273" s="252"/>
      <c r="N273" s="252"/>
    </row>
    <row r="274" spans="1:14" ht="15.6" x14ac:dyDescent="0.6">
      <c r="A274" s="252"/>
      <c r="B274" s="66"/>
      <c r="C274" s="267" t="s">
        <v>20</v>
      </c>
      <c r="D274" s="261"/>
      <c r="E274" s="326"/>
      <c r="F274" s="326"/>
      <c r="G274" s="326"/>
      <c r="H274" s="326"/>
      <c r="I274" s="127"/>
      <c r="J274" s="127"/>
      <c r="K274" s="127"/>
      <c r="L274" s="252"/>
      <c r="M274" s="252"/>
      <c r="N274" s="252"/>
    </row>
    <row r="275" spans="1:14" ht="15.6" x14ac:dyDescent="0.6">
      <c r="A275" s="252"/>
      <c r="B275" s="66"/>
      <c r="C275" s="273" t="s">
        <v>216</v>
      </c>
      <c r="D275" s="261">
        <f>D$59*D49</f>
        <v>5400</v>
      </c>
      <c r="E275" s="326"/>
      <c r="F275" s="269"/>
      <c r="G275" s="259"/>
      <c r="H275" s="252"/>
      <c r="I275" s="265"/>
      <c r="J275" s="179"/>
      <c r="K275" s="266"/>
      <c r="L275" s="252"/>
      <c r="M275" s="252"/>
      <c r="N275" s="252"/>
    </row>
    <row r="276" spans="1:14" ht="15.6" x14ac:dyDescent="0.6">
      <c r="A276" s="252"/>
      <c r="B276" s="66"/>
      <c r="C276" s="273" t="s">
        <v>98</v>
      </c>
      <c r="D276" s="261">
        <f>-D$11*E49</f>
        <v>-300</v>
      </c>
      <c r="E276" s="326"/>
      <c r="F276" s="269"/>
      <c r="G276" s="259"/>
      <c r="H276" s="252"/>
      <c r="I276" s="265"/>
      <c r="J276" s="179"/>
      <c r="K276" s="266"/>
      <c r="L276" s="252"/>
      <c r="M276" s="252"/>
      <c r="N276" s="252"/>
    </row>
    <row r="277" spans="1:14" ht="15.6" x14ac:dyDescent="0.6">
      <c r="A277" s="252"/>
      <c r="B277" s="66"/>
      <c r="C277" s="273" t="s">
        <v>222</v>
      </c>
      <c r="D277" s="261">
        <f>-D272</f>
        <v>-900</v>
      </c>
      <c r="E277" s="326"/>
      <c r="F277" s="269"/>
      <c r="G277" s="259"/>
      <c r="H277" s="252"/>
      <c r="I277" s="265"/>
      <c r="J277" s="179"/>
      <c r="K277" s="266"/>
      <c r="L277" s="252"/>
      <c r="M277" s="252"/>
      <c r="N277" s="252"/>
    </row>
    <row r="278" spans="1:14" ht="15.6" x14ac:dyDescent="0.6">
      <c r="A278" s="252"/>
      <c r="B278" s="66"/>
      <c r="C278" s="273" t="s">
        <v>210</v>
      </c>
      <c r="D278" s="261">
        <f>-D$12*F49</f>
        <v>-50</v>
      </c>
      <c r="E278" s="326"/>
      <c r="F278" s="269"/>
      <c r="G278" s="259"/>
      <c r="H278" s="252"/>
      <c r="I278" s="265"/>
      <c r="J278" s="179"/>
      <c r="K278" s="266"/>
      <c r="L278" s="252"/>
      <c r="M278" s="252"/>
      <c r="N278" s="252"/>
    </row>
    <row r="279" spans="1:14" ht="15.6" x14ac:dyDescent="0.6">
      <c r="A279" s="252"/>
      <c r="B279" s="66"/>
      <c r="C279" s="273" t="s">
        <v>217</v>
      </c>
      <c r="D279" s="285">
        <f>-D273</f>
        <v>-375</v>
      </c>
      <c r="E279" s="326"/>
      <c r="F279" s="269"/>
      <c r="G279" s="259"/>
      <c r="H279" s="252"/>
      <c r="I279" s="265"/>
      <c r="J279" s="179"/>
      <c r="K279" s="266"/>
      <c r="L279" s="252"/>
      <c r="M279" s="252"/>
      <c r="N279" s="252"/>
    </row>
    <row r="280" spans="1:14" ht="15.6" x14ac:dyDescent="0.6">
      <c r="A280" s="252"/>
      <c r="B280" s="66"/>
      <c r="C280" s="267"/>
      <c r="D280" s="261">
        <f>SUM(D275:D279)</f>
        <v>3775</v>
      </c>
      <c r="E280" s="329">
        <f>-(D$19-D280)/D$19</f>
        <v>0</v>
      </c>
      <c r="F280" s="263">
        <f>I49</f>
        <v>60</v>
      </c>
      <c r="G280" s="259" t="s">
        <v>55</v>
      </c>
      <c r="H280" s="252"/>
      <c r="I280" s="265">
        <f>D280*F280</f>
        <v>226500</v>
      </c>
      <c r="J280" s="179">
        <f>I280/$D$5</f>
        <v>37.75</v>
      </c>
      <c r="K280" s="266">
        <f>I280/$D$4</f>
        <v>226.5</v>
      </c>
      <c r="L280" s="252"/>
      <c r="M280" s="252"/>
      <c r="N280" s="252"/>
    </row>
    <row r="281" spans="1:14" ht="15.6" x14ac:dyDescent="0.6">
      <c r="A281" s="252"/>
      <c r="B281" s="66"/>
      <c r="C281" s="267" t="s">
        <v>21</v>
      </c>
      <c r="D281" s="261">
        <f>D$25</f>
        <v>12</v>
      </c>
      <c r="E281" s="268" t="s">
        <v>57</v>
      </c>
      <c r="F281" s="263">
        <f>J49</f>
        <v>40</v>
      </c>
      <c r="G281" s="259" t="s">
        <v>55</v>
      </c>
      <c r="H281" s="252"/>
      <c r="I281" s="270">
        <f>CEILING(D281*F281,10)</f>
        <v>480</v>
      </c>
      <c r="J281" s="271">
        <f t="shared" ref="J281" si="56">I281/$D$5</f>
        <v>0.08</v>
      </c>
      <c r="K281" s="272">
        <f t="shared" ref="K281:K282" si="57">I281/$D$4</f>
        <v>0.48</v>
      </c>
      <c r="L281" s="252"/>
      <c r="M281" s="252"/>
      <c r="N281" s="252"/>
    </row>
    <row r="282" spans="1:14" ht="15.6" x14ac:dyDescent="0.6">
      <c r="A282" s="252"/>
      <c r="B282" s="66"/>
      <c r="C282" s="267"/>
      <c r="D282" s="267"/>
      <c r="E282" s="268"/>
      <c r="F282" s="268"/>
      <c r="G282" s="259"/>
      <c r="H282" s="259"/>
      <c r="I282" s="265">
        <f>SUM(I272:I281)</f>
        <v>277980</v>
      </c>
      <c r="J282" s="179">
        <f>I282/$D$5</f>
        <v>46.33</v>
      </c>
      <c r="K282" s="266">
        <f t="shared" si="57"/>
        <v>277.98</v>
      </c>
      <c r="L282" s="252"/>
      <c r="M282" s="252"/>
      <c r="N282" s="252"/>
    </row>
    <row r="283" spans="1:14" ht="15.6" x14ac:dyDescent="0.6">
      <c r="A283" s="252"/>
      <c r="B283" s="260" t="s">
        <v>28</v>
      </c>
      <c r="C283" s="273"/>
      <c r="D283" s="273"/>
      <c r="E283" s="268"/>
      <c r="F283" s="268"/>
      <c r="G283" s="259"/>
      <c r="H283" s="259"/>
      <c r="I283" s="265"/>
      <c r="J283" s="265"/>
      <c r="K283" s="265"/>
      <c r="L283" s="252"/>
      <c r="M283" s="252"/>
      <c r="N283" s="252"/>
    </row>
    <row r="284" spans="1:14" ht="15.6" x14ac:dyDescent="0.6">
      <c r="A284" s="252"/>
      <c r="B284" s="274"/>
      <c r="C284" s="267" t="s">
        <v>1</v>
      </c>
      <c r="D284" s="261" t="s">
        <v>99</v>
      </c>
      <c r="E284" s="268"/>
      <c r="F284" s="268"/>
      <c r="G284" s="259"/>
      <c r="H284" s="259"/>
      <c r="I284" s="266">
        <v>0</v>
      </c>
      <c r="J284" s="179">
        <f t="shared" ref="J284:J287" si="58">I284/$D$5</f>
        <v>0</v>
      </c>
      <c r="K284" s="266">
        <f t="shared" ref="K284:K287" si="59">I284/$D$4</f>
        <v>0</v>
      </c>
      <c r="L284" s="252"/>
      <c r="M284" s="252"/>
      <c r="N284" s="252"/>
    </row>
    <row r="285" spans="1:14" ht="15.6" x14ac:dyDescent="0.6">
      <c r="A285" s="252"/>
      <c r="B285" s="274"/>
      <c r="C285" s="267" t="s">
        <v>133</v>
      </c>
      <c r="D285" s="261" t="s">
        <v>134</v>
      </c>
      <c r="E285" s="268"/>
      <c r="F285" s="268"/>
      <c r="G285" s="259"/>
      <c r="H285" s="259"/>
      <c r="I285" s="266">
        <v>0</v>
      </c>
      <c r="J285" s="179">
        <f t="shared" si="58"/>
        <v>0</v>
      </c>
      <c r="K285" s="266">
        <f t="shared" si="59"/>
        <v>0</v>
      </c>
      <c r="L285" s="252"/>
      <c r="M285" s="252"/>
      <c r="N285" s="252"/>
    </row>
    <row r="286" spans="1:14" ht="15.6" x14ac:dyDescent="0.6">
      <c r="A286" s="252"/>
      <c r="B286" s="274"/>
      <c r="C286" s="267" t="s">
        <v>2</v>
      </c>
      <c r="D286" s="261">
        <f>D$25</f>
        <v>12</v>
      </c>
      <c r="E286" s="268" t="s">
        <v>57</v>
      </c>
      <c r="F286" s="269">
        <f>F$25</f>
        <v>800</v>
      </c>
      <c r="G286" s="259" t="s">
        <v>58</v>
      </c>
      <c r="H286" s="259"/>
      <c r="I286" s="272">
        <f>CEILING(-D286*F286,10)</f>
        <v>-9600</v>
      </c>
      <c r="J286" s="271">
        <f t="shared" si="58"/>
        <v>-1.6</v>
      </c>
      <c r="K286" s="272">
        <f t="shared" si="59"/>
        <v>-9.6</v>
      </c>
      <c r="L286" s="252"/>
      <c r="M286" s="252"/>
      <c r="N286" s="252"/>
    </row>
    <row r="287" spans="1:14" ht="15.6" x14ac:dyDescent="0.6">
      <c r="A287" s="252"/>
      <c r="B287" s="66"/>
      <c r="C287" s="273"/>
      <c r="D287" s="273"/>
      <c r="E287" s="273"/>
      <c r="F287" s="273"/>
      <c r="G287" s="273"/>
      <c r="H287" s="273"/>
      <c r="I287" s="266">
        <f>SUM(I284:I286)</f>
        <v>-9600</v>
      </c>
      <c r="J287" s="179">
        <f t="shared" si="58"/>
        <v>-1.6</v>
      </c>
      <c r="K287" s="266">
        <f t="shared" si="59"/>
        <v>-9.6</v>
      </c>
      <c r="L287" s="252"/>
      <c r="M287" s="252"/>
      <c r="N287" s="252"/>
    </row>
    <row r="288" spans="1:14" ht="15.6" x14ac:dyDescent="0.6">
      <c r="A288" s="252"/>
      <c r="B288" s="275" t="s">
        <v>0</v>
      </c>
      <c r="C288" s="257"/>
      <c r="D288" s="257"/>
      <c r="E288" s="257"/>
      <c r="F288" s="257"/>
      <c r="G288" s="257"/>
      <c r="H288" s="257"/>
      <c r="I288" s="276">
        <f>I269+I282+I287</f>
        <v>611820</v>
      </c>
      <c r="J288" s="277">
        <f>J269+J282+J287</f>
        <v>101.97</v>
      </c>
      <c r="K288" s="278">
        <f>K269+K282+K287</f>
        <v>611.82000000000005</v>
      </c>
      <c r="L288" s="252"/>
      <c r="M288" s="252"/>
      <c r="N288" s="252"/>
    </row>
    <row r="289" spans="1:14" ht="15.6" x14ac:dyDescent="0.6">
      <c r="A289" s="252"/>
      <c r="B289" s="66" t="s">
        <v>23</v>
      </c>
      <c r="C289" s="259"/>
      <c r="D289" s="259"/>
      <c r="E289" s="259"/>
      <c r="F289" s="259"/>
      <c r="G289" s="259"/>
      <c r="H289" s="259"/>
      <c r="I289" s="198" t="s">
        <v>48</v>
      </c>
      <c r="J289" s="198" t="s">
        <v>49</v>
      </c>
      <c r="K289" s="198" t="s">
        <v>50</v>
      </c>
      <c r="L289" s="252"/>
      <c r="M289" s="252"/>
      <c r="N289" s="252"/>
    </row>
    <row r="290" spans="1:14" ht="15.6" x14ac:dyDescent="0.6">
      <c r="A290" s="252"/>
      <c r="B290" s="260" t="s">
        <v>3</v>
      </c>
      <c r="C290" s="259"/>
      <c r="D290" s="259"/>
      <c r="E290" s="259"/>
      <c r="F290" s="259"/>
      <c r="G290" s="259"/>
      <c r="L290" s="252"/>
      <c r="M290" s="252"/>
      <c r="N290" s="252"/>
    </row>
    <row r="291" spans="1:14" ht="15.6" x14ac:dyDescent="0.6">
      <c r="A291" s="252"/>
      <c r="B291" s="260"/>
      <c r="C291" s="259" t="s">
        <v>224</v>
      </c>
      <c r="D291" s="261">
        <f>D$15</f>
        <v>10185</v>
      </c>
      <c r="E291" s="262" t="s">
        <v>57</v>
      </c>
      <c r="F291" s="263">
        <f>F$30</f>
        <v>3.5</v>
      </c>
      <c r="G291" s="264" t="s">
        <v>204</v>
      </c>
      <c r="H291" s="259"/>
      <c r="I291" s="265">
        <f>CEILING(D291*F291,10)</f>
        <v>35650</v>
      </c>
      <c r="J291" s="179">
        <f>I291/$D$5</f>
        <v>5.9416666666666664</v>
      </c>
      <c r="K291" s="266">
        <f>I291/$D$4</f>
        <v>35.65</v>
      </c>
      <c r="L291" s="252"/>
      <c r="M291" s="252"/>
      <c r="N291" s="252"/>
    </row>
    <row r="292" spans="1:14" ht="15.6" x14ac:dyDescent="0.6">
      <c r="A292" s="252"/>
      <c r="B292" s="260"/>
      <c r="C292" s="259" t="s">
        <v>135</v>
      </c>
      <c r="D292" s="261">
        <f>D275</f>
        <v>5400</v>
      </c>
      <c r="E292" s="262" t="s">
        <v>57</v>
      </c>
      <c r="F292" s="263">
        <f>F$31</f>
        <v>3.5</v>
      </c>
      <c r="G292" s="264" t="s">
        <v>204</v>
      </c>
      <c r="H292" s="259"/>
      <c r="I292" s="265">
        <f>CEILING(D292*F292,10)</f>
        <v>18900</v>
      </c>
      <c r="J292" s="179">
        <f>I292/$D$5</f>
        <v>3.15</v>
      </c>
      <c r="K292" s="266">
        <f>I292/$D$4</f>
        <v>18.899999999999999</v>
      </c>
      <c r="L292" s="252"/>
      <c r="M292" s="252"/>
      <c r="N292" s="252"/>
    </row>
    <row r="293" spans="1:14" ht="15.6" x14ac:dyDescent="0.6">
      <c r="A293" s="252"/>
      <c r="B293" s="260" t="s">
        <v>97</v>
      </c>
      <c r="C293" s="259"/>
      <c r="D293" s="261">
        <f>D291</f>
        <v>10185</v>
      </c>
      <c r="E293" s="262" t="s">
        <v>57</v>
      </c>
      <c r="F293" s="263">
        <f>I293/D293</f>
        <v>0</v>
      </c>
      <c r="G293" s="264" t="s">
        <v>204</v>
      </c>
      <c r="H293" s="259"/>
      <c r="I293" s="265">
        <f>'Step 3'!G92</f>
        <v>0</v>
      </c>
      <c r="J293" s="179">
        <f t="shared" ref="J293:J297" si="60">I293/$D$5</f>
        <v>0</v>
      </c>
      <c r="K293" s="266">
        <f t="shared" ref="K293:K297" si="61">I293/$D$4</f>
        <v>0</v>
      </c>
      <c r="L293" s="252"/>
      <c r="M293" s="252"/>
      <c r="N293" s="252"/>
    </row>
    <row r="294" spans="1:14" ht="15.6" x14ac:dyDescent="0.6">
      <c r="A294" s="252"/>
      <c r="B294" s="260" t="s">
        <v>24</v>
      </c>
      <c r="C294" s="259"/>
      <c r="D294" s="261">
        <f>D291</f>
        <v>10185</v>
      </c>
      <c r="E294" s="262" t="str">
        <f>E291</f>
        <v>hd @</v>
      </c>
      <c r="F294" s="263">
        <f>F$33</f>
        <v>6.5</v>
      </c>
      <c r="G294" s="264" t="s">
        <v>204</v>
      </c>
      <c r="H294" s="259"/>
      <c r="I294" s="265">
        <f>CEILING(D294*F294,10)</f>
        <v>66210</v>
      </c>
      <c r="J294" s="179">
        <f t="shared" si="60"/>
        <v>11.035</v>
      </c>
      <c r="K294" s="266">
        <f t="shared" si="61"/>
        <v>66.209999999999994</v>
      </c>
      <c r="L294" s="252"/>
      <c r="M294" s="252"/>
      <c r="N294" s="252"/>
    </row>
    <row r="295" spans="1:14" ht="15.6" x14ac:dyDescent="0.6">
      <c r="A295" s="252"/>
      <c r="B295" s="260" t="s">
        <v>25</v>
      </c>
      <c r="C295" s="259"/>
      <c r="D295" s="279">
        <f>D269*F269/170</f>
        <v>224.47058823529412</v>
      </c>
      <c r="E295" s="262" t="s">
        <v>59</v>
      </c>
      <c r="F295" s="263">
        <f>F$34</f>
        <v>20</v>
      </c>
      <c r="G295" s="264" t="s">
        <v>60</v>
      </c>
      <c r="H295" s="259"/>
      <c r="I295" s="265">
        <f>CEILING(D295*F295,10)</f>
        <v>4490</v>
      </c>
      <c r="J295" s="179">
        <f t="shared" si="60"/>
        <v>0.74833333333333329</v>
      </c>
      <c r="K295" s="266">
        <f t="shared" si="61"/>
        <v>4.49</v>
      </c>
      <c r="L295" s="252"/>
      <c r="M295" s="252"/>
      <c r="N295" s="252"/>
    </row>
    <row r="296" spans="1:14" ht="15.6" x14ac:dyDescent="0.6">
      <c r="A296" s="252"/>
      <c r="B296" s="260" t="s">
        <v>26</v>
      </c>
      <c r="C296" s="259"/>
      <c r="D296" s="259"/>
      <c r="E296" s="259"/>
      <c r="F296" s="263">
        <f>F$35</f>
        <v>15</v>
      </c>
      <c r="G296" s="264" t="s">
        <v>60</v>
      </c>
      <c r="H296" s="259"/>
      <c r="I296" s="265">
        <f>CEILING(D295*F296,10)</f>
        <v>3370</v>
      </c>
      <c r="J296" s="179">
        <f t="shared" si="60"/>
        <v>0.56166666666666665</v>
      </c>
      <c r="K296" s="266">
        <f t="shared" si="61"/>
        <v>3.37</v>
      </c>
      <c r="L296" s="252"/>
      <c r="M296" s="252"/>
      <c r="N296" s="252"/>
    </row>
    <row r="297" spans="1:14" ht="15.6" x14ac:dyDescent="0.6">
      <c r="A297" s="252"/>
      <c r="B297" s="260" t="s">
        <v>27</v>
      </c>
      <c r="C297" s="259"/>
      <c r="D297" s="261">
        <f>D272+D273+D280+D281+D286</f>
        <v>5074</v>
      </c>
      <c r="E297" s="268" t="s">
        <v>57</v>
      </c>
      <c r="F297" s="263">
        <f>F$36</f>
        <v>2</v>
      </c>
      <c r="G297" s="264" t="s">
        <v>61</v>
      </c>
      <c r="H297" s="259"/>
      <c r="I297" s="265">
        <f>CEILING(D297*F297,10)</f>
        <v>10150</v>
      </c>
      <c r="J297" s="179">
        <f t="shared" si="60"/>
        <v>1.6916666666666667</v>
      </c>
      <c r="K297" s="266">
        <f t="shared" si="61"/>
        <v>10.15</v>
      </c>
      <c r="L297" s="252"/>
      <c r="M297" s="252"/>
      <c r="N297" s="252"/>
    </row>
    <row r="298" spans="1:14" ht="15.6" x14ac:dyDescent="0.6">
      <c r="A298" s="252"/>
      <c r="B298" s="275" t="s">
        <v>41</v>
      </c>
      <c r="C298" s="257"/>
      <c r="D298" s="257"/>
      <c r="E298" s="280"/>
      <c r="F298" s="257"/>
      <c r="G298" s="257"/>
      <c r="H298" s="257"/>
      <c r="I298" s="276">
        <f>SUM(I291:I297)</f>
        <v>138770</v>
      </c>
      <c r="J298" s="277">
        <f>SUM(J291:J297)</f>
        <v>23.128333333333334</v>
      </c>
      <c r="K298" s="278">
        <f>SUM(K291:K297)</f>
        <v>138.76999999999998</v>
      </c>
      <c r="L298" s="252"/>
      <c r="M298" s="252"/>
      <c r="N298" s="252"/>
    </row>
    <row r="299" spans="1:14" ht="15.6" x14ac:dyDescent="0.6">
      <c r="A299" s="252"/>
      <c r="B299" s="281" t="s">
        <v>62</v>
      </c>
      <c r="C299" s="257"/>
      <c r="D299" s="257"/>
      <c r="E299" s="280"/>
      <c r="F299" s="257"/>
      <c r="G299" s="257"/>
      <c r="H299" s="257"/>
      <c r="I299" s="276">
        <f>I288-I298</f>
        <v>473050</v>
      </c>
      <c r="J299" s="277">
        <f>J288-J298</f>
        <v>78.841666666666669</v>
      </c>
      <c r="K299" s="278">
        <f>K288-K298</f>
        <v>473.05000000000007</v>
      </c>
      <c r="L299" s="252"/>
      <c r="M299" s="252"/>
      <c r="N299" s="252"/>
    </row>
    <row r="300" spans="1:14" ht="15.6" x14ac:dyDescent="0.6">
      <c r="A300" s="252"/>
      <c r="B300" s="282"/>
      <c r="C300" s="255"/>
      <c r="D300" s="255"/>
      <c r="E300" s="255"/>
      <c r="F300" s="255"/>
      <c r="G300" s="255"/>
      <c r="H300" s="255"/>
      <c r="I300" s="255"/>
      <c r="J300" s="255"/>
      <c r="K300" s="255"/>
      <c r="L300" s="252"/>
      <c r="M300" s="252"/>
      <c r="N300" s="252"/>
    </row>
    <row r="301" spans="1:14" ht="18.3" x14ac:dyDescent="0.7">
      <c r="A301" s="252"/>
      <c r="B301" s="253" t="s">
        <v>271</v>
      </c>
      <c r="C301" s="252"/>
      <c r="D301" s="252"/>
      <c r="E301" s="252"/>
      <c r="F301" s="252"/>
      <c r="G301" s="252"/>
      <c r="H301" s="252"/>
      <c r="I301" s="252"/>
      <c r="J301" s="252"/>
      <c r="K301" s="252"/>
      <c r="L301" s="252"/>
      <c r="M301" s="252"/>
      <c r="N301" s="252"/>
    </row>
    <row r="302" spans="1:14" ht="17.7" x14ac:dyDescent="0.6">
      <c r="A302" s="252"/>
      <c r="B302" s="256"/>
      <c r="C302" s="257"/>
      <c r="D302" s="257"/>
      <c r="E302" s="257"/>
      <c r="F302" s="257"/>
      <c r="G302" s="257"/>
      <c r="H302" s="257"/>
      <c r="I302" s="258" t="s">
        <v>46</v>
      </c>
      <c r="J302" s="258" t="s">
        <v>78</v>
      </c>
      <c r="K302" s="258" t="s">
        <v>87</v>
      </c>
      <c r="L302" s="252"/>
      <c r="M302" s="252"/>
      <c r="N302" s="252"/>
    </row>
    <row r="303" spans="1:14" ht="15.6" x14ac:dyDescent="0.6">
      <c r="A303" s="252"/>
      <c r="B303" s="66" t="s">
        <v>18</v>
      </c>
      <c r="C303" s="259"/>
      <c r="D303" s="259"/>
      <c r="E303" s="259"/>
      <c r="F303" s="259"/>
      <c r="G303" s="259"/>
      <c r="H303" s="259"/>
      <c r="I303" s="198" t="s">
        <v>48</v>
      </c>
      <c r="J303" s="198" t="s">
        <v>49</v>
      </c>
      <c r="K303" s="198" t="s">
        <v>50</v>
      </c>
      <c r="L303" s="252"/>
      <c r="M303" s="252"/>
      <c r="N303" s="252"/>
    </row>
    <row r="304" spans="1:14" ht="15.6" x14ac:dyDescent="0.6">
      <c r="A304" s="252"/>
      <c r="B304" s="260" t="s">
        <v>4</v>
      </c>
      <c r="C304" s="259"/>
      <c r="D304" s="261">
        <f>$D$11</f>
        <v>6000</v>
      </c>
      <c r="E304" s="288" t="s">
        <v>212</v>
      </c>
      <c r="F304" s="325">
        <f>K50</f>
        <v>6.36</v>
      </c>
      <c r="G304" s="263">
        <f>L50</f>
        <v>9</v>
      </c>
      <c r="H304" s="264" t="s">
        <v>47</v>
      </c>
      <c r="I304" s="265">
        <f>CEILING(D304*F304*G304,10)</f>
        <v>343440</v>
      </c>
      <c r="J304" s="179">
        <f>I304/$D$5</f>
        <v>57.24</v>
      </c>
      <c r="K304" s="266">
        <f>I304/$D$4</f>
        <v>343.44</v>
      </c>
      <c r="L304" s="252"/>
      <c r="M304" s="252"/>
      <c r="N304" s="252"/>
    </row>
    <row r="305" spans="1:14" ht="15.6" x14ac:dyDescent="0.6">
      <c r="A305" s="252"/>
      <c r="B305" s="260"/>
      <c r="C305" s="259"/>
      <c r="D305" s="261"/>
      <c r="E305" s="314" t="s">
        <v>214</v>
      </c>
      <c r="F305" s="289"/>
      <c r="G305" s="263"/>
      <c r="H305" s="264"/>
      <c r="I305" s="265"/>
      <c r="J305" s="179"/>
      <c r="K305" s="266"/>
      <c r="L305" s="252"/>
      <c r="M305" s="252"/>
      <c r="N305" s="252"/>
    </row>
    <row r="306" spans="1:14" ht="15.6" x14ac:dyDescent="0.6">
      <c r="A306" s="252"/>
      <c r="B306" s="260" t="s">
        <v>22</v>
      </c>
      <c r="C306" s="259"/>
      <c r="D306" s="261"/>
      <c r="E306" s="327" t="s">
        <v>225</v>
      </c>
      <c r="F306" s="259"/>
      <c r="G306" s="259"/>
      <c r="H306" s="259"/>
      <c r="I306" s="265"/>
      <c r="J306" s="265"/>
      <c r="K306" s="265"/>
      <c r="L306" s="252"/>
      <c r="M306" s="252"/>
      <c r="N306" s="252"/>
    </row>
    <row r="307" spans="1:14" ht="15.6" x14ac:dyDescent="0.6">
      <c r="A307" s="252"/>
      <c r="B307" s="66"/>
      <c r="C307" s="267" t="s">
        <v>19</v>
      </c>
      <c r="D307" s="261">
        <f>D$17+D$11*'Step 3'!G146</f>
        <v>900</v>
      </c>
      <c r="E307" s="328">
        <f>-(D$17-D307)/D$17</f>
        <v>0</v>
      </c>
      <c r="F307" s="346">
        <f>G50</f>
        <v>40</v>
      </c>
      <c r="G307" s="259" t="s">
        <v>55</v>
      </c>
      <c r="H307" s="252"/>
      <c r="I307" s="265">
        <f>CEILING(D307*F307,10)</f>
        <v>36000</v>
      </c>
      <c r="J307" s="179">
        <f t="shared" ref="J307:J308" si="62">I307/$D$5</f>
        <v>6</v>
      </c>
      <c r="K307" s="266">
        <f t="shared" ref="K307:K308" si="63">I307/$D$4</f>
        <v>36</v>
      </c>
      <c r="L307" s="252"/>
      <c r="M307" s="252"/>
      <c r="N307" s="252"/>
    </row>
    <row r="308" spans="1:14" ht="15.6" x14ac:dyDescent="0.6">
      <c r="A308" s="252"/>
      <c r="B308" s="66"/>
      <c r="C308" s="267" t="s">
        <v>215</v>
      </c>
      <c r="D308" s="261">
        <f>D$18+D$12*'Step 3'!G146</f>
        <v>375</v>
      </c>
      <c r="E308" s="328">
        <f>-(D$18-D308)/D$18</f>
        <v>0</v>
      </c>
      <c r="F308" s="346">
        <f>H50</f>
        <v>40</v>
      </c>
      <c r="G308" s="259" t="s">
        <v>55</v>
      </c>
      <c r="H308" s="252"/>
      <c r="I308" s="265">
        <f>CEILING(D308*F308,10)</f>
        <v>15000</v>
      </c>
      <c r="J308" s="179">
        <f t="shared" si="62"/>
        <v>2.5</v>
      </c>
      <c r="K308" s="266">
        <f t="shared" si="63"/>
        <v>15</v>
      </c>
      <c r="L308" s="252"/>
      <c r="M308" s="252"/>
      <c r="N308" s="252"/>
    </row>
    <row r="309" spans="1:14" ht="15.6" x14ac:dyDescent="0.6">
      <c r="A309" s="252"/>
      <c r="B309" s="66"/>
      <c r="C309" s="267" t="s">
        <v>20</v>
      </c>
      <c r="D309" s="261"/>
      <c r="E309" s="326"/>
      <c r="F309" s="326"/>
      <c r="G309" s="326"/>
      <c r="H309" s="326"/>
      <c r="I309" s="127"/>
      <c r="J309" s="127"/>
      <c r="K309" s="127"/>
      <c r="L309" s="252"/>
      <c r="M309" s="252"/>
      <c r="N309" s="252"/>
    </row>
    <row r="310" spans="1:14" ht="15.6" x14ac:dyDescent="0.6">
      <c r="A310" s="252"/>
      <c r="B310" s="66"/>
      <c r="C310" s="273" t="s">
        <v>216</v>
      </c>
      <c r="D310" s="261">
        <f>D$59*D50</f>
        <v>5400</v>
      </c>
      <c r="E310" s="326"/>
      <c r="F310" s="269"/>
      <c r="G310" s="259"/>
      <c r="H310" s="252"/>
      <c r="I310" s="265"/>
      <c r="J310" s="179"/>
      <c r="K310" s="266"/>
      <c r="L310" s="252"/>
      <c r="M310" s="252"/>
      <c r="N310" s="252"/>
    </row>
    <row r="311" spans="1:14" ht="15.6" x14ac:dyDescent="0.6">
      <c r="A311" s="252"/>
      <c r="B311" s="66"/>
      <c r="C311" s="273" t="s">
        <v>98</v>
      </c>
      <c r="D311" s="261">
        <f>-D$11*E50</f>
        <v>-300</v>
      </c>
      <c r="E311" s="326"/>
      <c r="F311" s="269"/>
      <c r="G311" s="259"/>
      <c r="H311" s="252"/>
      <c r="I311" s="265"/>
      <c r="J311" s="179"/>
      <c r="K311" s="266"/>
      <c r="L311" s="252"/>
      <c r="M311" s="252"/>
      <c r="N311" s="252"/>
    </row>
    <row r="312" spans="1:14" ht="15.6" x14ac:dyDescent="0.6">
      <c r="A312" s="252"/>
      <c r="B312" s="66"/>
      <c r="C312" s="273" t="s">
        <v>222</v>
      </c>
      <c r="D312" s="261">
        <f>-D307</f>
        <v>-900</v>
      </c>
      <c r="E312" s="326"/>
      <c r="F312" s="269"/>
      <c r="G312" s="259"/>
      <c r="H312" s="252"/>
      <c r="I312" s="265"/>
      <c r="J312" s="179"/>
      <c r="K312" s="266"/>
      <c r="L312" s="252"/>
      <c r="M312" s="252"/>
      <c r="N312" s="252"/>
    </row>
    <row r="313" spans="1:14" ht="15.6" x14ac:dyDescent="0.6">
      <c r="A313" s="252"/>
      <c r="B313" s="66"/>
      <c r="C313" s="273" t="s">
        <v>210</v>
      </c>
      <c r="D313" s="261">
        <f>-D$12*F50</f>
        <v>-50</v>
      </c>
      <c r="E313" s="326"/>
      <c r="F313" s="269"/>
      <c r="G313" s="259"/>
      <c r="H313" s="252"/>
      <c r="I313" s="265"/>
      <c r="J313" s="179"/>
      <c r="K313" s="266"/>
      <c r="L313" s="252"/>
      <c r="M313" s="252"/>
      <c r="N313" s="252"/>
    </row>
    <row r="314" spans="1:14" ht="15.6" x14ac:dyDescent="0.6">
      <c r="A314" s="252"/>
      <c r="B314" s="66"/>
      <c r="C314" s="273" t="s">
        <v>217</v>
      </c>
      <c r="D314" s="285">
        <f>-D308</f>
        <v>-375</v>
      </c>
      <c r="E314" s="326"/>
      <c r="F314" s="269"/>
      <c r="G314" s="259"/>
      <c r="H314" s="252"/>
      <c r="I314" s="265"/>
      <c r="J314" s="179"/>
      <c r="K314" s="266"/>
      <c r="L314" s="252"/>
      <c r="M314" s="252"/>
      <c r="N314" s="252"/>
    </row>
    <row r="315" spans="1:14" ht="15.6" x14ac:dyDescent="0.6">
      <c r="A315" s="252"/>
      <c r="B315" s="66"/>
      <c r="C315" s="267"/>
      <c r="D315" s="261">
        <f>SUM(D310:D314)</f>
        <v>3775</v>
      </c>
      <c r="E315" s="329">
        <f>-(D$19-D315)/D$19</f>
        <v>0</v>
      </c>
      <c r="F315" s="263">
        <f>I50</f>
        <v>60</v>
      </c>
      <c r="G315" s="259" t="s">
        <v>55</v>
      </c>
      <c r="H315" s="252"/>
      <c r="I315" s="265">
        <f>D315*F315</f>
        <v>226500</v>
      </c>
      <c r="J315" s="179">
        <f>I315/$D$5</f>
        <v>37.75</v>
      </c>
      <c r="K315" s="266">
        <f>I315/$D$4</f>
        <v>226.5</v>
      </c>
      <c r="L315" s="252"/>
      <c r="M315" s="252"/>
      <c r="N315" s="252"/>
    </row>
    <row r="316" spans="1:14" ht="15.6" x14ac:dyDescent="0.6">
      <c r="A316" s="252"/>
      <c r="B316" s="66"/>
      <c r="C316" s="267" t="s">
        <v>21</v>
      </c>
      <c r="D316" s="261">
        <f>D$25</f>
        <v>12</v>
      </c>
      <c r="E316" s="268" t="s">
        <v>57</v>
      </c>
      <c r="F316" s="263">
        <f>J50</f>
        <v>40</v>
      </c>
      <c r="G316" s="259" t="s">
        <v>55</v>
      </c>
      <c r="H316" s="252"/>
      <c r="I316" s="270">
        <f>CEILING(D316*F316,10)</f>
        <v>480</v>
      </c>
      <c r="J316" s="271">
        <f t="shared" ref="J316" si="64">I316/$D$5</f>
        <v>0.08</v>
      </c>
      <c r="K316" s="272">
        <f t="shared" ref="K316:K317" si="65">I316/$D$4</f>
        <v>0.48</v>
      </c>
      <c r="L316" s="252"/>
      <c r="M316" s="252"/>
      <c r="N316" s="252"/>
    </row>
    <row r="317" spans="1:14" ht="15.6" x14ac:dyDescent="0.6">
      <c r="A317" s="252"/>
      <c r="B317" s="66"/>
      <c r="C317" s="267"/>
      <c r="D317" s="267"/>
      <c r="E317" s="268"/>
      <c r="F317" s="268"/>
      <c r="G317" s="259"/>
      <c r="H317" s="259"/>
      <c r="I317" s="265">
        <f>SUM(I307:I316)</f>
        <v>277980</v>
      </c>
      <c r="J317" s="179">
        <f>I317/$D$5</f>
        <v>46.33</v>
      </c>
      <c r="K317" s="266">
        <f t="shared" si="65"/>
        <v>277.98</v>
      </c>
      <c r="L317" s="252"/>
      <c r="M317" s="252"/>
      <c r="N317" s="252"/>
    </row>
    <row r="318" spans="1:14" ht="15.6" x14ac:dyDescent="0.6">
      <c r="A318" s="252"/>
      <c r="B318" s="260" t="s">
        <v>28</v>
      </c>
      <c r="C318" s="273"/>
      <c r="D318" s="273"/>
      <c r="E318" s="268"/>
      <c r="F318" s="268"/>
      <c r="G318" s="259"/>
      <c r="H318" s="259"/>
      <c r="I318" s="265"/>
      <c r="J318" s="265"/>
      <c r="K318" s="265"/>
      <c r="L318" s="252"/>
      <c r="M318" s="252"/>
      <c r="N318" s="252"/>
    </row>
    <row r="319" spans="1:14" ht="15.6" x14ac:dyDescent="0.6">
      <c r="A319" s="252"/>
      <c r="B319" s="274"/>
      <c r="C319" s="267" t="s">
        <v>1</v>
      </c>
      <c r="D319" s="261" t="s">
        <v>99</v>
      </c>
      <c r="E319" s="268"/>
      <c r="F319" s="268"/>
      <c r="G319" s="259"/>
      <c r="H319" s="259"/>
      <c r="I319" s="266">
        <v>0</v>
      </c>
      <c r="J319" s="179">
        <f t="shared" ref="J319:J322" si="66">I319/$D$5</f>
        <v>0</v>
      </c>
      <c r="K319" s="266">
        <f t="shared" ref="K319:K322" si="67">I319/$D$4</f>
        <v>0</v>
      </c>
      <c r="L319" s="252"/>
      <c r="M319" s="252"/>
      <c r="N319" s="252"/>
    </row>
    <row r="320" spans="1:14" ht="15.6" x14ac:dyDescent="0.6">
      <c r="A320" s="252"/>
      <c r="B320" s="274"/>
      <c r="C320" s="267" t="s">
        <v>133</v>
      </c>
      <c r="D320" s="261" t="s">
        <v>134</v>
      </c>
      <c r="E320" s="268"/>
      <c r="F320" s="268"/>
      <c r="G320" s="259"/>
      <c r="H320" s="259"/>
      <c r="I320" s="266">
        <v>0</v>
      </c>
      <c r="J320" s="179">
        <f t="shared" si="66"/>
        <v>0</v>
      </c>
      <c r="K320" s="266">
        <f t="shared" si="67"/>
        <v>0</v>
      </c>
      <c r="L320" s="252"/>
      <c r="M320" s="252"/>
      <c r="N320" s="252"/>
    </row>
    <row r="321" spans="1:14" ht="15.6" x14ac:dyDescent="0.6">
      <c r="A321" s="252"/>
      <c r="B321" s="274"/>
      <c r="C321" s="267" t="s">
        <v>2</v>
      </c>
      <c r="D321" s="261">
        <f>D$25</f>
        <v>12</v>
      </c>
      <c r="E321" s="268" t="s">
        <v>57</v>
      </c>
      <c r="F321" s="269">
        <f>F$25</f>
        <v>800</v>
      </c>
      <c r="G321" s="259" t="s">
        <v>58</v>
      </c>
      <c r="H321" s="259"/>
      <c r="I321" s="272">
        <f>CEILING(-D321*F321,10)</f>
        <v>-9600</v>
      </c>
      <c r="J321" s="271">
        <f t="shared" si="66"/>
        <v>-1.6</v>
      </c>
      <c r="K321" s="272">
        <f t="shared" si="67"/>
        <v>-9.6</v>
      </c>
      <c r="L321" s="252"/>
      <c r="M321" s="252"/>
      <c r="N321" s="252"/>
    </row>
    <row r="322" spans="1:14" ht="15.6" x14ac:dyDescent="0.6">
      <c r="A322" s="252"/>
      <c r="B322" s="66"/>
      <c r="C322" s="273"/>
      <c r="D322" s="273"/>
      <c r="E322" s="273"/>
      <c r="F322" s="273"/>
      <c r="G322" s="273"/>
      <c r="H322" s="273"/>
      <c r="I322" s="266">
        <f>SUM(I319:I321)</f>
        <v>-9600</v>
      </c>
      <c r="J322" s="179">
        <f t="shared" si="66"/>
        <v>-1.6</v>
      </c>
      <c r="K322" s="266">
        <f t="shared" si="67"/>
        <v>-9.6</v>
      </c>
      <c r="L322" s="252"/>
      <c r="M322" s="252"/>
      <c r="N322" s="252"/>
    </row>
    <row r="323" spans="1:14" ht="15.6" x14ac:dyDescent="0.6">
      <c r="A323" s="252"/>
      <c r="B323" s="275" t="s">
        <v>0</v>
      </c>
      <c r="C323" s="257"/>
      <c r="D323" s="257"/>
      <c r="E323" s="257"/>
      <c r="F323" s="257"/>
      <c r="G323" s="257"/>
      <c r="H323" s="257"/>
      <c r="I323" s="276">
        <f>I304+I317+I322</f>
        <v>611820</v>
      </c>
      <c r="J323" s="277">
        <f>J304+J317+J322</f>
        <v>101.97</v>
      </c>
      <c r="K323" s="278">
        <f>K304+K317+K322</f>
        <v>611.82000000000005</v>
      </c>
      <c r="L323" s="252"/>
      <c r="M323" s="252"/>
      <c r="N323" s="252"/>
    </row>
    <row r="324" spans="1:14" ht="15.6" x14ac:dyDescent="0.6">
      <c r="A324" s="252"/>
      <c r="B324" s="66" t="s">
        <v>23</v>
      </c>
      <c r="C324" s="259"/>
      <c r="D324" s="259"/>
      <c r="E324" s="259"/>
      <c r="F324" s="259"/>
      <c r="G324" s="259"/>
      <c r="H324" s="259"/>
      <c r="I324" s="198" t="s">
        <v>48</v>
      </c>
      <c r="J324" s="198" t="s">
        <v>49</v>
      </c>
      <c r="K324" s="198" t="s">
        <v>50</v>
      </c>
      <c r="L324" s="252"/>
      <c r="M324" s="252"/>
      <c r="N324" s="252"/>
    </row>
    <row r="325" spans="1:14" ht="15.6" x14ac:dyDescent="0.6">
      <c r="A325" s="252"/>
      <c r="B325" s="260" t="s">
        <v>3</v>
      </c>
      <c r="C325" s="259"/>
      <c r="D325" s="259"/>
      <c r="E325" s="259"/>
      <c r="F325" s="259"/>
      <c r="G325" s="259"/>
      <c r="L325" s="252"/>
      <c r="M325" s="252"/>
      <c r="N325" s="252"/>
    </row>
    <row r="326" spans="1:14" ht="15.6" x14ac:dyDescent="0.6">
      <c r="A326" s="252"/>
      <c r="B326" s="260"/>
      <c r="C326" s="259" t="s">
        <v>224</v>
      </c>
      <c r="D326" s="261">
        <f>D$15</f>
        <v>10185</v>
      </c>
      <c r="E326" s="262" t="s">
        <v>57</v>
      </c>
      <c r="F326" s="263">
        <f>F$30</f>
        <v>3.5</v>
      </c>
      <c r="G326" s="264" t="s">
        <v>204</v>
      </c>
      <c r="H326" s="259"/>
      <c r="I326" s="265">
        <f>CEILING(D326*F326,10)</f>
        <v>35650</v>
      </c>
      <c r="J326" s="179">
        <f>I326/$D$5</f>
        <v>5.9416666666666664</v>
      </c>
      <c r="K326" s="266">
        <f>I326/$D$4</f>
        <v>35.65</v>
      </c>
      <c r="L326" s="252"/>
      <c r="M326" s="252"/>
      <c r="N326" s="252"/>
    </row>
    <row r="327" spans="1:14" ht="15.6" x14ac:dyDescent="0.6">
      <c r="A327" s="252"/>
      <c r="B327" s="260"/>
      <c r="C327" s="259" t="s">
        <v>135</v>
      </c>
      <c r="D327" s="261">
        <f>D310</f>
        <v>5400</v>
      </c>
      <c r="E327" s="262" t="s">
        <v>57</v>
      </c>
      <c r="F327" s="263">
        <f>F$31</f>
        <v>3.5</v>
      </c>
      <c r="G327" s="264" t="s">
        <v>204</v>
      </c>
      <c r="H327" s="259"/>
      <c r="I327" s="265">
        <f>CEILING(D327*F327,10)</f>
        <v>18900</v>
      </c>
      <c r="J327" s="179">
        <f>I327/$D$5</f>
        <v>3.15</v>
      </c>
      <c r="K327" s="266">
        <f>I327/$D$4</f>
        <v>18.899999999999999</v>
      </c>
      <c r="L327" s="252"/>
      <c r="M327" s="252"/>
      <c r="N327" s="252"/>
    </row>
    <row r="328" spans="1:14" ht="15.6" x14ac:dyDescent="0.6">
      <c r="A328" s="252"/>
      <c r="B328" s="260" t="s">
        <v>97</v>
      </c>
      <c r="C328" s="259"/>
      <c r="D328" s="261">
        <f>D326</f>
        <v>10185</v>
      </c>
      <c r="E328" s="262" t="s">
        <v>57</v>
      </c>
      <c r="F328" s="263">
        <f>I328/D328</f>
        <v>0</v>
      </c>
      <c r="G328" s="264" t="s">
        <v>204</v>
      </c>
      <c r="H328" s="259"/>
      <c r="I328" s="265">
        <f>'Step 3'!G93</f>
        <v>0</v>
      </c>
      <c r="J328" s="179">
        <f t="shared" ref="J328:J332" si="68">I328/$D$5</f>
        <v>0</v>
      </c>
      <c r="K328" s="266">
        <f t="shared" ref="K328:K332" si="69">I328/$D$4</f>
        <v>0</v>
      </c>
      <c r="L328" s="252"/>
      <c r="M328" s="252"/>
      <c r="N328" s="252"/>
    </row>
    <row r="329" spans="1:14" ht="15.6" x14ac:dyDescent="0.6">
      <c r="A329" s="252"/>
      <c r="B329" s="260" t="s">
        <v>24</v>
      </c>
      <c r="C329" s="259"/>
      <c r="D329" s="261">
        <f>D326</f>
        <v>10185</v>
      </c>
      <c r="E329" s="262" t="str">
        <f>E326</f>
        <v>hd @</v>
      </c>
      <c r="F329" s="263">
        <f>F$33</f>
        <v>6.5</v>
      </c>
      <c r="G329" s="264" t="s">
        <v>204</v>
      </c>
      <c r="H329" s="259"/>
      <c r="I329" s="265">
        <f>CEILING(D329*F329,10)</f>
        <v>66210</v>
      </c>
      <c r="J329" s="179">
        <f t="shared" si="68"/>
        <v>11.035</v>
      </c>
      <c r="K329" s="266">
        <f t="shared" si="69"/>
        <v>66.209999999999994</v>
      </c>
      <c r="L329" s="252"/>
      <c r="M329" s="252"/>
      <c r="N329" s="252"/>
    </row>
    <row r="330" spans="1:14" ht="15.6" x14ac:dyDescent="0.6">
      <c r="A330" s="252"/>
      <c r="B330" s="260" t="s">
        <v>25</v>
      </c>
      <c r="C330" s="259"/>
      <c r="D330" s="279">
        <f>D304*F304/170</f>
        <v>224.47058823529412</v>
      </c>
      <c r="E330" s="262" t="s">
        <v>59</v>
      </c>
      <c r="F330" s="263">
        <f>F$34</f>
        <v>20</v>
      </c>
      <c r="G330" s="264" t="s">
        <v>60</v>
      </c>
      <c r="H330" s="259"/>
      <c r="I330" s="265">
        <f>CEILING(D330*F330,10)</f>
        <v>4490</v>
      </c>
      <c r="J330" s="179">
        <f t="shared" si="68"/>
        <v>0.74833333333333329</v>
      </c>
      <c r="K330" s="266">
        <f t="shared" si="69"/>
        <v>4.49</v>
      </c>
      <c r="L330" s="252"/>
      <c r="M330" s="252"/>
      <c r="N330" s="252"/>
    </row>
    <row r="331" spans="1:14" ht="15.6" x14ac:dyDescent="0.6">
      <c r="A331" s="252"/>
      <c r="B331" s="260" t="s">
        <v>26</v>
      </c>
      <c r="C331" s="259"/>
      <c r="D331" s="259"/>
      <c r="E331" s="259"/>
      <c r="F331" s="263">
        <f>F$35</f>
        <v>15</v>
      </c>
      <c r="G331" s="264" t="s">
        <v>60</v>
      </c>
      <c r="H331" s="259"/>
      <c r="I331" s="265">
        <f>CEILING(D330*F331,10)</f>
        <v>3370</v>
      </c>
      <c r="J331" s="179">
        <f t="shared" si="68"/>
        <v>0.56166666666666665</v>
      </c>
      <c r="K331" s="266">
        <f t="shared" si="69"/>
        <v>3.37</v>
      </c>
      <c r="L331" s="252"/>
      <c r="M331" s="252"/>
      <c r="N331" s="252"/>
    </row>
    <row r="332" spans="1:14" ht="15.6" x14ac:dyDescent="0.6">
      <c r="A332" s="252"/>
      <c r="B332" s="260" t="s">
        <v>27</v>
      </c>
      <c r="C332" s="259"/>
      <c r="D332" s="261">
        <f>D307+D308+D315+D316+D321</f>
        <v>5074</v>
      </c>
      <c r="E332" s="268" t="s">
        <v>57</v>
      </c>
      <c r="F332" s="263">
        <f>F$36</f>
        <v>2</v>
      </c>
      <c r="G332" s="264" t="s">
        <v>61</v>
      </c>
      <c r="H332" s="259"/>
      <c r="I332" s="265">
        <f>CEILING(D332*F332,10)</f>
        <v>10150</v>
      </c>
      <c r="J332" s="179">
        <f t="shared" si="68"/>
        <v>1.6916666666666667</v>
      </c>
      <c r="K332" s="266">
        <f t="shared" si="69"/>
        <v>10.15</v>
      </c>
      <c r="L332" s="252"/>
      <c r="M332" s="252"/>
      <c r="N332" s="252"/>
    </row>
    <row r="333" spans="1:14" ht="15.6" x14ac:dyDescent="0.6">
      <c r="A333" s="252"/>
      <c r="B333" s="275" t="s">
        <v>41</v>
      </c>
      <c r="C333" s="257"/>
      <c r="D333" s="257"/>
      <c r="E333" s="280"/>
      <c r="F333" s="257"/>
      <c r="G333" s="257"/>
      <c r="H333" s="257"/>
      <c r="I333" s="276">
        <f>SUM(I326:I332)</f>
        <v>138770</v>
      </c>
      <c r="J333" s="277">
        <f>SUM(J326:J332)</f>
        <v>23.128333333333334</v>
      </c>
      <c r="K333" s="278">
        <f>SUM(K326:K332)</f>
        <v>138.76999999999998</v>
      </c>
      <c r="L333" s="252"/>
      <c r="M333" s="252"/>
      <c r="N333" s="252"/>
    </row>
    <row r="334" spans="1:14" ht="15.6" x14ac:dyDescent="0.6">
      <c r="A334" s="252"/>
      <c r="B334" s="281" t="s">
        <v>62</v>
      </c>
      <c r="C334" s="257"/>
      <c r="D334" s="257"/>
      <c r="E334" s="280"/>
      <c r="F334" s="257"/>
      <c r="G334" s="257"/>
      <c r="H334" s="257"/>
      <c r="I334" s="276">
        <f>I323-I333</f>
        <v>473050</v>
      </c>
      <c r="J334" s="277">
        <f>J323-J333</f>
        <v>78.841666666666669</v>
      </c>
      <c r="K334" s="278">
        <f>K323-K333</f>
        <v>473.05000000000007</v>
      </c>
      <c r="L334" s="252"/>
      <c r="M334" s="252"/>
      <c r="N334" s="252"/>
    </row>
    <row r="335" spans="1:14" ht="15.6" x14ac:dyDescent="0.6">
      <c r="A335" s="252"/>
      <c r="B335" s="282"/>
      <c r="C335" s="255"/>
      <c r="D335" s="255"/>
      <c r="E335" s="255"/>
      <c r="F335" s="255"/>
      <c r="G335" s="255"/>
      <c r="H335" s="255"/>
      <c r="I335" s="255"/>
      <c r="J335" s="255"/>
      <c r="K335" s="255"/>
      <c r="L335" s="252"/>
      <c r="M335" s="252"/>
      <c r="N335" s="252"/>
    </row>
    <row r="336" spans="1:14" ht="18.3" x14ac:dyDescent="0.7">
      <c r="A336" s="252"/>
      <c r="B336" s="253" t="s">
        <v>272</v>
      </c>
      <c r="C336" s="252"/>
      <c r="D336" s="252"/>
      <c r="E336" s="252"/>
      <c r="F336" s="252"/>
      <c r="G336" s="252"/>
      <c r="H336" s="252"/>
      <c r="I336" s="252"/>
      <c r="J336" s="252"/>
      <c r="K336" s="252"/>
      <c r="L336" s="252"/>
      <c r="M336" s="252"/>
      <c r="N336" s="252"/>
    </row>
    <row r="337" spans="1:14" ht="17.7" x14ac:dyDescent="0.6">
      <c r="A337" s="252"/>
      <c r="B337" s="256"/>
      <c r="C337" s="257"/>
      <c r="D337" s="257"/>
      <c r="E337" s="257"/>
      <c r="F337" s="257"/>
      <c r="G337" s="257"/>
      <c r="H337" s="257"/>
      <c r="I337" s="258" t="s">
        <v>46</v>
      </c>
      <c r="J337" s="258" t="s">
        <v>78</v>
      </c>
      <c r="K337" s="258" t="s">
        <v>87</v>
      </c>
      <c r="L337" s="252"/>
      <c r="M337" s="252"/>
      <c r="N337" s="252"/>
    </row>
    <row r="338" spans="1:14" ht="15.6" x14ac:dyDescent="0.6">
      <c r="A338" s="252"/>
      <c r="B338" s="66" t="s">
        <v>18</v>
      </c>
      <c r="C338" s="259"/>
      <c r="D338" s="259"/>
      <c r="E338" s="259"/>
      <c r="F338" s="259"/>
      <c r="G338" s="259"/>
      <c r="H338" s="259"/>
      <c r="I338" s="198" t="s">
        <v>48</v>
      </c>
      <c r="J338" s="198" t="s">
        <v>49</v>
      </c>
      <c r="K338" s="198" t="s">
        <v>50</v>
      </c>
      <c r="L338" s="252"/>
      <c r="M338" s="252"/>
      <c r="N338" s="252"/>
    </row>
    <row r="339" spans="1:14" ht="15.6" x14ac:dyDescent="0.6">
      <c r="A339" s="252"/>
      <c r="B339" s="260" t="s">
        <v>4</v>
      </c>
      <c r="C339" s="259"/>
      <c r="D339" s="261">
        <f>$D$11</f>
        <v>6000</v>
      </c>
      <c r="E339" s="288" t="s">
        <v>212</v>
      </c>
      <c r="F339" s="325">
        <f>K51</f>
        <v>6.36</v>
      </c>
      <c r="G339" s="263">
        <f>L51</f>
        <v>9</v>
      </c>
      <c r="H339" s="264" t="s">
        <v>47</v>
      </c>
      <c r="I339" s="265">
        <f>CEILING(D339*F339*G339,10)</f>
        <v>343440</v>
      </c>
      <c r="J339" s="179">
        <f>I339/$D$5</f>
        <v>57.24</v>
      </c>
      <c r="K339" s="266">
        <f>I339/$D$4</f>
        <v>343.44</v>
      </c>
      <c r="L339" s="252"/>
      <c r="M339" s="252"/>
      <c r="N339" s="252"/>
    </row>
    <row r="340" spans="1:14" ht="15.6" x14ac:dyDescent="0.6">
      <c r="A340" s="252"/>
      <c r="B340" s="260"/>
      <c r="C340" s="259"/>
      <c r="D340" s="261"/>
      <c r="E340" s="314" t="s">
        <v>214</v>
      </c>
      <c r="F340" s="289"/>
      <c r="G340" s="263"/>
      <c r="H340" s="264"/>
      <c r="I340" s="265"/>
      <c r="J340" s="179"/>
      <c r="K340" s="266"/>
      <c r="L340" s="252"/>
      <c r="M340" s="252"/>
      <c r="N340" s="252"/>
    </row>
    <row r="341" spans="1:14" ht="15.6" x14ac:dyDescent="0.6">
      <c r="A341" s="252"/>
      <c r="B341" s="260" t="s">
        <v>22</v>
      </c>
      <c r="C341" s="259"/>
      <c r="D341" s="261"/>
      <c r="E341" s="327" t="s">
        <v>225</v>
      </c>
      <c r="F341" s="259"/>
      <c r="G341" s="259"/>
      <c r="H341" s="259"/>
      <c r="I341" s="265"/>
      <c r="J341" s="265"/>
      <c r="K341" s="265"/>
      <c r="L341" s="252"/>
      <c r="M341" s="252"/>
      <c r="N341" s="252"/>
    </row>
    <row r="342" spans="1:14" ht="15.6" x14ac:dyDescent="0.6">
      <c r="A342" s="252"/>
      <c r="B342" s="66"/>
      <c r="C342" s="267" t="s">
        <v>19</v>
      </c>
      <c r="D342" s="261">
        <f>D$17+D$11*'Step 3'!G147</f>
        <v>900</v>
      </c>
      <c r="E342" s="328">
        <f>-(D$17-D342)/D$17</f>
        <v>0</v>
      </c>
      <c r="F342" s="346">
        <f>G51</f>
        <v>40</v>
      </c>
      <c r="G342" s="259" t="s">
        <v>55</v>
      </c>
      <c r="H342" s="252"/>
      <c r="I342" s="265">
        <f>CEILING(D342*F342,10)</f>
        <v>36000</v>
      </c>
      <c r="J342" s="179">
        <f t="shared" ref="J342:J343" si="70">I342/$D$5</f>
        <v>6</v>
      </c>
      <c r="K342" s="266">
        <f t="shared" ref="K342:K343" si="71">I342/$D$4</f>
        <v>36</v>
      </c>
      <c r="L342" s="252"/>
      <c r="M342" s="252"/>
      <c r="N342" s="252"/>
    </row>
    <row r="343" spans="1:14" ht="15.6" x14ac:dyDescent="0.6">
      <c r="A343" s="252"/>
      <c r="B343" s="66"/>
      <c r="C343" s="267" t="s">
        <v>215</v>
      </c>
      <c r="D343" s="261">
        <f>D$18+D$12*'Step 3'!G147</f>
        <v>375</v>
      </c>
      <c r="E343" s="328">
        <f>-(D$18-D343)/D$18</f>
        <v>0</v>
      </c>
      <c r="F343" s="346">
        <f>H51</f>
        <v>40</v>
      </c>
      <c r="G343" s="259" t="s">
        <v>55</v>
      </c>
      <c r="H343" s="252"/>
      <c r="I343" s="265">
        <f>CEILING(D343*F343,10)</f>
        <v>15000</v>
      </c>
      <c r="J343" s="179">
        <f t="shared" si="70"/>
        <v>2.5</v>
      </c>
      <c r="K343" s="266">
        <f t="shared" si="71"/>
        <v>15</v>
      </c>
      <c r="L343" s="252"/>
      <c r="M343" s="252"/>
      <c r="N343" s="252"/>
    </row>
    <row r="344" spans="1:14" ht="15.6" x14ac:dyDescent="0.6">
      <c r="A344" s="252"/>
      <c r="B344" s="66"/>
      <c r="C344" s="267" t="s">
        <v>20</v>
      </c>
      <c r="D344" s="261"/>
      <c r="E344" s="326"/>
      <c r="F344" s="326"/>
      <c r="G344" s="326"/>
      <c r="H344" s="326"/>
      <c r="I344" s="127"/>
      <c r="J344" s="127"/>
      <c r="K344" s="127"/>
      <c r="L344" s="252"/>
      <c r="M344" s="252"/>
      <c r="N344" s="252"/>
    </row>
    <row r="345" spans="1:14" ht="15.6" x14ac:dyDescent="0.6">
      <c r="A345" s="252"/>
      <c r="B345" s="66"/>
      <c r="C345" s="273" t="s">
        <v>216</v>
      </c>
      <c r="D345" s="261">
        <f>D$59*D51</f>
        <v>5400</v>
      </c>
      <c r="E345" s="326"/>
      <c r="F345" s="269"/>
      <c r="G345" s="259"/>
      <c r="H345" s="252"/>
      <c r="I345" s="265"/>
      <c r="J345" s="179"/>
      <c r="K345" s="266"/>
      <c r="L345" s="252"/>
      <c r="M345" s="252"/>
      <c r="N345" s="252"/>
    </row>
    <row r="346" spans="1:14" ht="15.6" x14ac:dyDescent="0.6">
      <c r="A346" s="252"/>
      <c r="B346" s="66"/>
      <c r="C346" s="273" t="s">
        <v>98</v>
      </c>
      <c r="D346" s="261">
        <f>-D$11*E51</f>
        <v>-300</v>
      </c>
      <c r="E346" s="326"/>
      <c r="F346" s="269"/>
      <c r="G346" s="259"/>
      <c r="H346" s="252"/>
      <c r="I346" s="265"/>
      <c r="J346" s="179"/>
      <c r="K346" s="266"/>
      <c r="L346" s="252"/>
      <c r="M346" s="252"/>
      <c r="N346" s="252"/>
    </row>
    <row r="347" spans="1:14" ht="15.6" x14ac:dyDescent="0.6">
      <c r="A347" s="252"/>
      <c r="B347" s="66"/>
      <c r="C347" s="273" t="s">
        <v>222</v>
      </c>
      <c r="D347" s="261">
        <f>-D342</f>
        <v>-900</v>
      </c>
      <c r="E347" s="326"/>
      <c r="F347" s="269"/>
      <c r="G347" s="259"/>
      <c r="H347" s="252"/>
      <c r="I347" s="265"/>
      <c r="J347" s="179"/>
      <c r="K347" s="266"/>
      <c r="L347" s="252"/>
      <c r="M347" s="252"/>
      <c r="N347" s="252"/>
    </row>
    <row r="348" spans="1:14" ht="15.6" x14ac:dyDescent="0.6">
      <c r="A348" s="252"/>
      <c r="B348" s="66"/>
      <c r="C348" s="273" t="s">
        <v>210</v>
      </c>
      <c r="D348" s="261">
        <f>-D$12*F51</f>
        <v>-50</v>
      </c>
      <c r="E348" s="326"/>
      <c r="F348" s="269"/>
      <c r="G348" s="259"/>
      <c r="H348" s="252"/>
      <c r="I348" s="265"/>
      <c r="J348" s="179"/>
      <c r="K348" s="266"/>
      <c r="L348" s="252"/>
      <c r="M348" s="252"/>
      <c r="N348" s="252"/>
    </row>
    <row r="349" spans="1:14" ht="15.6" x14ac:dyDescent="0.6">
      <c r="A349" s="252"/>
      <c r="B349" s="66"/>
      <c r="C349" s="273" t="s">
        <v>217</v>
      </c>
      <c r="D349" s="285">
        <f>-D343</f>
        <v>-375</v>
      </c>
      <c r="E349" s="326"/>
      <c r="F349" s="269"/>
      <c r="G349" s="259"/>
      <c r="H349" s="252"/>
      <c r="I349" s="265"/>
      <c r="J349" s="179"/>
      <c r="K349" s="266"/>
      <c r="L349" s="252"/>
      <c r="M349" s="252"/>
      <c r="N349" s="252"/>
    </row>
    <row r="350" spans="1:14" ht="15.6" x14ac:dyDescent="0.6">
      <c r="A350" s="252"/>
      <c r="B350" s="66"/>
      <c r="C350" s="267"/>
      <c r="D350" s="261">
        <f>SUM(D345:D349)</f>
        <v>3775</v>
      </c>
      <c r="E350" s="329">
        <f>-(D$19-D350)/D$19</f>
        <v>0</v>
      </c>
      <c r="F350" s="263">
        <f>I51</f>
        <v>60</v>
      </c>
      <c r="G350" s="259" t="s">
        <v>55</v>
      </c>
      <c r="H350" s="252"/>
      <c r="I350" s="265">
        <f>D350*F350</f>
        <v>226500</v>
      </c>
      <c r="J350" s="179">
        <f>I350/$D$5</f>
        <v>37.75</v>
      </c>
      <c r="K350" s="266">
        <f>I350/$D$4</f>
        <v>226.5</v>
      </c>
      <c r="L350" s="252"/>
      <c r="M350" s="252"/>
      <c r="N350" s="252"/>
    </row>
    <row r="351" spans="1:14" ht="15.6" x14ac:dyDescent="0.6">
      <c r="A351" s="252"/>
      <c r="B351" s="66"/>
      <c r="C351" s="267" t="s">
        <v>21</v>
      </c>
      <c r="D351" s="261">
        <f>D$25</f>
        <v>12</v>
      </c>
      <c r="E351" s="268" t="s">
        <v>57</v>
      </c>
      <c r="F351" s="263">
        <f>J51</f>
        <v>40</v>
      </c>
      <c r="G351" s="259" t="s">
        <v>55</v>
      </c>
      <c r="H351" s="252"/>
      <c r="I351" s="270">
        <f>CEILING(D351*F351,10)</f>
        <v>480</v>
      </c>
      <c r="J351" s="271">
        <f t="shared" ref="J351" si="72">I351/$D$5</f>
        <v>0.08</v>
      </c>
      <c r="K351" s="272">
        <f t="shared" ref="K351:K352" si="73">I351/$D$4</f>
        <v>0.48</v>
      </c>
      <c r="L351" s="252"/>
      <c r="M351" s="252"/>
      <c r="N351" s="252"/>
    </row>
    <row r="352" spans="1:14" ht="15.6" x14ac:dyDescent="0.6">
      <c r="A352" s="252"/>
      <c r="B352" s="66"/>
      <c r="C352" s="267"/>
      <c r="D352" s="267"/>
      <c r="E352" s="268"/>
      <c r="F352" s="268"/>
      <c r="G352" s="259"/>
      <c r="H352" s="259"/>
      <c r="I352" s="265">
        <f>SUM(I342:I351)</f>
        <v>277980</v>
      </c>
      <c r="J352" s="179">
        <f>I352/$D$5</f>
        <v>46.33</v>
      </c>
      <c r="K352" s="266">
        <f t="shared" si="73"/>
        <v>277.98</v>
      </c>
      <c r="L352" s="252"/>
      <c r="M352" s="252"/>
      <c r="N352" s="252"/>
    </row>
    <row r="353" spans="1:14" ht="15.6" x14ac:dyDescent="0.6">
      <c r="A353" s="252"/>
      <c r="B353" s="260" t="s">
        <v>28</v>
      </c>
      <c r="C353" s="273"/>
      <c r="D353" s="273"/>
      <c r="E353" s="268"/>
      <c r="F353" s="268"/>
      <c r="G353" s="259"/>
      <c r="H353" s="259"/>
      <c r="I353" s="265"/>
      <c r="J353" s="265"/>
      <c r="K353" s="265"/>
      <c r="L353" s="252"/>
      <c r="M353" s="252"/>
      <c r="N353" s="252"/>
    </row>
    <row r="354" spans="1:14" ht="15.6" x14ac:dyDescent="0.6">
      <c r="A354" s="252"/>
      <c r="B354" s="274"/>
      <c r="C354" s="267" t="s">
        <v>1</v>
      </c>
      <c r="D354" s="261" t="s">
        <v>99</v>
      </c>
      <c r="E354" s="268"/>
      <c r="F354" s="268"/>
      <c r="G354" s="259"/>
      <c r="H354" s="259"/>
      <c r="I354" s="266">
        <v>0</v>
      </c>
      <c r="J354" s="179">
        <f t="shared" ref="J354:J357" si="74">I354/$D$5</f>
        <v>0</v>
      </c>
      <c r="K354" s="266">
        <f t="shared" ref="K354:K357" si="75">I354/$D$4</f>
        <v>0</v>
      </c>
      <c r="L354" s="252"/>
      <c r="M354" s="252"/>
      <c r="N354" s="252"/>
    </row>
    <row r="355" spans="1:14" ht="15.6" x14ac:dyDescent="0.6">
      <c r="A355" s="252"/>
      <c r="B355" s="274"/>
      <c r="C355" s="267" t="s">
        <v>133</v>
      </c>
      <c r="D355" s="261" t="s">
        <v>134</v>
      </c>
      <c r="E355" s="268"/>
      <c r="F355" s="268"/>
      <c r="G355" s="259"/>
      <c r="H355" s="259"/>
      <c r="I355" s="266">
        <v>0</v>
      </c>
      <c r="J355" s="179">
        <f t="shared" si="74"/>
        <v>0</v>
      </c>
      <c r="K355" s="266">
        <f t="shared" si="75"/>
        <v>0</v>
      </c>
      <c r="L355" s="252"/>
      <c r="M355" s="252"/>
      <c r="N355" s="252"/>
    </row>
    <row r="356" spans="1:14" ht="15.6" x14ac:dyDescent="0.6">
      <c r="A356" s="252"/>
      <c r="B356" s="274"/>
      <c r="C356" s="267" t="s">
        <v>2</v>
      </c>
      <c r="D356" s="261">
        <f>D$25</f>
        <v>12</v>
      </c>
      <c r="E356" s="268" t="s">
        <v>57</v>
      </c>
      <c r="F356" s="269">
        <f>F$25</f>
        <v>800</v>
      </c>
      <c r="G356" s="259" t="s">
        <v>58</v>
      </c>
      <c r="H356" s="259"/>
      <c r="I356" s="272">
        <f>CEILING(-D356*F356,10)</f>
        <v>-9600</v>
      </c>
      <c r="J356" s="271">
        <f t="shared" si="74"/>
        <v>-1.6</v>
      </c>
      <c r="K356" s="272">
        <f t="shared" si="75"/>
        <v>-9.6</v>
      </c>
      <c r="L356" s="252"/>
      <c r="M356" s="252"/>
      <c r="N356" s="252"/>
    </row>
    <row r="357" spans="1:14" ht="15.6" x14ac:dyDescent="0.6">
      <c r="A357" s="252"/>
      <c r="B357" s="66"/>
      <c r="C357" s="273"/>
      <c r="D357" s="273"/>
      <c r="E357" s="273"/>
      <c r="F357" s="273"/>
      <c r="G357" s="273"/>
      <c r="H357" s="273"/>
      <c r="I357" s="266">
        <f>SUM(I354:I356)</f>
        <v>-9600</v>
      </c>
      <c r="J357" s="179">
        <f t="shared" si="74"/>
        <v>-1.6</v>
      </c>
      <c r="K357" s="266">
        <f t="shared" si="75"/>
        <v>-9.6</v>
      </c>
      <c r="L357" s="252"/>
      <c r="M357" s="252"/>
      <c r="N357" s="252"/>
    </row>
    <row r="358" spans="1:14" ht="15.6" x14ac:dyDescent="0.6">
      <c r="A358" s="252"/>
      <c r="B358" s="275" t="s">
        <v>0</v>
      </c>
      <c r="C358" s="257"/>
      <c r="D358" s="257"/>
      <c r="E358" s="257"/>
      <c r="F358" s="257"/>
      <c r="G358" s="257"/>
      <c r="H358" s="257"/>
      <c r="I358" s="276">
        <f>I339+I352+I357</f>
        <v>611820</v>
      </c>
      <c r="J358" s="277">
        <f>J339+J352+J357</f>
        <v>101.97</v>
      </c>
      <c r="K358" s="278">
        <f>K339+K352+K357</f>
        <v>611.82000000000005</v>
      </c>
      <c r="L358" s="252"/>
      <c r="M358" s="252"/>
      <c r="N358" s="252"/>
    </row>
    <row r="359" spans="1:14" ht="15.6" x14ac:dyDescent="0.6">
      <c r="A359" s="252"/>
      <c r="B359" s="66" t="s">
        <v>23</v>
      </c>
      <c r="C359" s="259"/>
      <c r="D359" s="259"/>
      <c r="E359" s="259"/>
      <c r="F359" s="259"/>
      <c r="G359" s="259"/>
      <c r="H359" s="259"/>
      <c r="I359" s="198" t="s">
        <v>48</v>
      </c>
      <c r="J359" s="198" t="s">
        <v>49</v>
      </c>
      <c r="K359" s="198" t="s">
        <v>50</v>
      </c>
      <c r="L359" s="252"/>
      <c r="M359" s="252"/>
      <c r="N359" s="252"/>
    </row>
    <row r="360" spans="1:14" ht="15.6" x14ac:dyDescent="0.6">
      <c r="A360" s="252"/>
      <c r="B360" s="260" t="s">
        <v>3</v>
      </c>
      <c r="C360" s="259"/>
      <c r="D360" s="259"/>
      <c r="E360" s="259"/>
      <c r="F360" s="259"/>
      <c r="G360" s="259"/>
      <c r="L360" s="252"/>
      <c r="M360" s="252"/>
      <c r="N360" s="252"/>
    </row>
    <row r="361" spans="1:14" ht="15.6" x14ac:dyDescent="0.6">
      <c r="A361" s="252"/>
      <c r="B361" s="260"/>
      <c r="C361" s="259" t="s">
        <v>224</v>
      </c>
      <c r="D361" s="261">
        <f>D$15</f>
        <v>10185</v>
      </c>
      <c r="E361" s="262" t="s">
        <v>57</v>
      </c>
      <c r="F361" s="263">
        <f>F$30</f>
        <v>3.5</v>
      </c>
      <c r="G361" s="264" t="s">
        <v>204</v>
      </c>
      <c r="H361" s="259"/>
      <c r="I361" s="265">
        <f>CEILING(D361*F361,10)</f>
        <v>35650</v>
      </c>
      <c r="J361" s="179">
        <f>I361/$D$5</f>
        <v>5.9416666666666664</v>
      </c>
      <c r="K361" s="266">
        <f>I361/$D$4</f>
        <v>35.65</v>
      </c>
      <c r="L361" s="252"/>
      <c r="M361" s="252"/>
      <c r="N361" s="252"/>
    </row>
    <row r="362" spans="1:14" ht="15.6" x14ac:dyDescent="0.6">
      <c r="A362" s="252"/>
      <c r="B362" s="260"/>
      <c r="C362" s="259" t="s">
        <v>135</v>
      </c>
      <c r="D362" s="261">
        <f>D345</f>
        <v>5400</v>
      </c>
      <c r="E362" s="262" t="s">
        <v>57</v>
      </c>
      <c r="F362" s="263">
        <f>F$31</f>
        <v>3.5</v>
      </c>
      <c r="G362" s="264" t="s">
        <v>204</v>
      </c>
      <c r="H362" s="259"/>
      <c r="I362" s="265">
        <f>CEILING(D362*F362,10)</f>
        <v>18900</v>
      </c>
      <c r="J362" s="179">
        <f>I362/$D$5</f>
        <v>3.15</v>
      </c>
      <c r="K362" s="266">
        <f>I362/$D$4</f>
        <v>18.899999999999999</v>
      </c>
      <c r="L362" s="252"/>
      <c r="M362" s="252"/>
      <c r="N362" s="252"/>
    </row>
    <row r="363" spans="1:14" ht="15.6" x14ac:dyDescent="0.6">
      <c r="A363" s="252"/>
      <c r="B363" s="260" t="s">
        <v>97</v>
      </c>
      <c r="C363" s="259"/>
      <c r="D363" s="261">
        <f>D361</f>
        <v>10185</v>
      </c>
      <c r="E363" s="262" t="s">
        <v>57</v>
      </c>
      <c r="F363" s="263">
        <f>I363/D363</f>
        <v>0</v>
      </c>
      <c r="G363" s="264" t="s">
        <v>204</v>
      </c>
      <c r="H363" s="259"/>
      <c r="I363" s="265">
        <f>'Step 3'!G94</f>
        <v>0</v>
      </c>
      <c r="J363" s="179">
        <f t="shared" ref="J363:J367" si="76">I363/$D$5</f>
        <v>0</v>
      </c>
      <c r="K363" s="266">
        <f t="shared" ref="K363:K367" si="77">I363/$D$4</f>
        <v>0</v>
      </c>
      <c r="L363" s="252"/>
      <c r="M363" s="252"/>
      <c r="N363" s="252"/>
    </row>
    <row r="364" spans="1:14" ht="15.6" x14ac:dyDescent="0.6">
      <c r="A364" s="252"/>
      <c r="B364" s="260" t="s">
        <v>24</v>
      </c>
      <c r="C364" s="259"/>
      <c r="D364" s="261">
        <f>D361</f>
        <v>10185</v>
      </c>
      <c r="E364" s="262" t="str">
        <f>E361</f>
        <v>hd @</v>
      </c>
      <c r="F364" s="263">
        <f>F$33</f>
        <v>6.5</v>
      </c>
      <c r="G364" s="264" t="s">
        <v>204</v>
      </c>
      <c r="H364" s="259"/>
      <c r="I364" s="265">
        <f>CEILING(D364*F364,10)</f>
        <v>66210</v>
      </c>
      <c r="J364" s="179">
        <f t="shared" si="76"/>
        <v>11.035</v>
      </c>
      <c r="K364" s="266">
        <f t="shared" si="77"/>
        <v>66.209999999999994</v>
      </c>
      <c r="L364" s="252"/>
      <c r="M364" s="252"/>
      <c r="N364" s="252"/>
    </row>
    <row r="365" spans="1:14" ht="15.6" x14ac:dyDescent="0.6">
      <c r="A365" s="252"/>
      <c r="B365" s="260" t="s">
        <v>25</v>
      </c>
      <c r="C365" s="259"/>
      <c r="D365" s="279">
        <f>D339*F339/170</f>
        <v>224.47058823529412</v>
      </c>
      <c r="E365" s="262" t="s">
        <v>59</v>
      </c>
      <c r="F365" s="263">
        <f>F$34</f>
        <v>20</v>
      </c>
      <c r="G365" s="264" t="s">
        <v>60</v>
      </c>
      <c r="H365" s="259"/>
      <c r="I365" s="265">
        <f>CEILING(D365*F365,10)</f>
        <v>4490</v>
      </c>
      <c r="J365" s="179">
        <f t="shared" si="76"/>
        <v>0.74833333333333329</v>
      </c>
      <c r="K365" s="266">
        <f t="shared" si="77"/>
        <v>4.49</v>
      </c>
      <c r="L365" s="252"/>
      <c r="M365" s="252"/>
      <c r="N365" s="252"/>
    </row>
    <row r="366" spans="1:14" ht="15.6" x14ac:dyDescent="0.6">
      <c r="A366" s="252"/>
      <c r="B366" s="260" t="s">
        <v>26</v>
      </c>
      <c r="C366" s="259"/>
      <c r="D366" s="259"/>
      <c r="E366" s="259"/>
      <c r="F366" s="263">
        <f>F$35</f>
        <v>15</v>
      </c>
      <c r="G366" s="264" t="s">
        <v>60</v>
      </c>
      <c r="H366" s="259"/>
      <c r="I366" s="265">
        <f>CEILING(D365*F366,10)</f>
        <v>3370</v>
      </c>
      <c r="J366" s="179">
        <f t="shared" si="76"/>
        <v>0.56166666666666665</v>
      </c>
      <c r="K366" s="266">
        <f t="shared" si="77"/>
        <v>3.37</v>
      </c>
      <c r="L366" s="252"/>
      <c r="M366" s="252"/>
      <c r="N366" s="252"/>
    </row>
    <row r="367" spans="1:14" ht="15.6" x14ac:dyDescent="0.6">
      <c r="A367" s="252"/>
      <c r="B367" s="260" t="s">
        <v>27</v>
      </c>
      <c r="C367" s="259"/>
      <c r="D367" s="261">
        <f>D342+D343+D350+D351+D356</f>
        <v>5074</v>
      </c>
      <c r="E367" s="268" t="s">
        <v>57</v>
      </c>
      <c r="F367" s="263">
        <f>F$36</f>
        <v>2</v>
      </c>
      <c r="G367" s="264" t="s">
        <v>61</v>
      </c>
      <c r="H367" s="259"/>
      <c r="I367" s="265">
        <f>CEILING(D367*F367,10)</f>
        <v>10150</v>
      </c>
      <c r="J367" s="179">
        <f t="shared" si="76"/>
        <v>1.6916666666666667</v>
      </c>
      <c r="K367" s="266">
        <f t="shared" si="77"/>
        <v>10.15</v>
      </c>
      <c r="L367" s="252"/>
      <c r="M367" s="252"/>
      <c r="N367" s="252"/>
    </row>
    <row r="368" spans="1:14" ht="15.6" x14ac:dyDescent="0.6">
      <c r="A368" s="252"/>
      <c r="B368" s="275" t="s">
        <v>41</v>
      </c>
      <c r="C368" s="257"/>
      <c r="D368" s="257"/>
      <c r="E368" s="280"/>
      <c r="F368" s="257"/>
      <c r="G368" s="257"/>
      <c r="H368" s="257"/>
      <c r="I368" s="276">
        <f>SUM(I361:I367)</f>
        <v>138770</v>
      </c>
      <c r="J368" s="277">
        <f>SUM(J361:J367)</f>
        <v>23.128333333333334</v>
      </c>
      <c r="K368" s="278">
        <f>SUM(K361:K367)</f>
        <v>138.76999999999998</v>
      </c>
      <c r="L368" s="252"/>
      <c r="M368" s="252"/>
      <c r="N368" s="252"/>
    </row>
    <row r="369" spans="1:14" ht="15.6" x14ac:dyDescent="0.6">
      <c r="A369" s="252"/>
      <c r="B369" s="281" t="s">
        <v>62</v>
      </c>
      <c r="C369" s="257"/>
      <c r="D369" s="257"/>
      <c r="E369" s="280"/>
      <c r="F369" s="257"/>
      <c r="G369" s="257"/>
      <c r="H369" s="257"/>
      <c r="I369" s="276">
        <f>I358-I368</f>
        <v>473050</v>
      </c>
      <c r="J369" s="277">
        <f>J358-J368</f>
        <v>78.841666666666669</v>
      </c>
      <c r="K369" s="278">
        <f>K358-K368</f>
        <v>473.05000000000007</v>
      </c>
      <c r="L369" s="252"/>
      <c r="M369" s="252"/>
      <c r="N369" s="252"/>
    </row>
    <row r="370" spans="1:14" ht="15.6" x14ac:dyDescent="0.6">
      <c r="A370" s="252"/>
      <c r="B370" s="282"/>
      <c r="C370" s="255"/>
      <c r="D370" s="255"/>
      <c r="E370" s="255"/>
      <c r="F370" s="255"/>
      <c r="G370" s="255"/>
      <c r="H370" s="255"/>
      <c r="I370" s="255"/>
      <c r="J370" s="255"/>
      <c r="K370" s="255"/>
      <c r="L370" s="252"/>
      <c r="M370" s="252"/>
      <c r="N370" s="252"/>
    </row>
    <row r="371" spans="1:14" ht="18.3" x14ac:dyDescent="0.7">
      <c r="A371" s="252"/>
      <c r="B371" s="253" t="s">
        <v>273</v>
      </c>
      <c r="C371" s="252"/>
      <c r="D371" s="252"/>
      <c r="E371" s="252"/>
      <c r="F371" s="252"/>
      <c r="G371" s="252"/>
      <c r="H371" s="252"/>
      <c r="I371" s="252"/>
      <c r="J371" s="252"/>
      <c r="K371" s="252"/>
      <c r="L371" s="252"/>
      <c r="M371" s="252"/>
      <c r="N371" s="252"/>
    </row>
    <row r="372" spans="1:14" ht="17.7" x14ac:dyDescent="0.6">
      <c r="A372" s="252"/>
      <c r="B372" s="256"/>
      <c r="C372" s="257"/>
      <c r="D372" s="257"/>
      <c r="E372" s="257"/>
      <c r="F372" s="257"/>
      <c r="G372" s="257"/>
      <c r="H372" s="257"/>
      <c r="I372" s="258" t="s">
        <v>46</v>
      </c>
      <c r="J372" s="258" t="s">
        <v>78</v>
      </c>
      <c r="K372" s="258" t="s">
        <v>87</v>
      </c>
      <c r="L372" s="252"/>
      <c r="M372" s="252"/>
      <c r="N372" s="252"/>
    </row>
    <row r="373" spans="1:14" ht="15.6" x14ac:dyDescent="0.6">
      <c r="A373" s="252"/>
      <c r="B373" s="66" t="s">
        <v>18</v>
      </c>
      <c r="C373" s="259"/>
      <c r="D373" s="259"/>
      <c r="E373" s="259"/>
      <c r="F373" s="259"/>
      <c r="G373" s="259"/>
      <c r="H373" s="259"/>
      <c r="I373" s="198" t="s">
        <v>48</v>
      </c>
      <c r="J373" s="198" t="s">
        <v>49</v>
      </c>
      <c r="K373" s="198" t="s">
        <v>50</v>
      </c>
      <c r="L373" s="252"/>
      <c r="M373" s="252"/>
      <c r="N373" s="252"/>
    </row>
    <row r="374" spans="1:14" ht="15.6" x14ac:dyDescent="0.6">
      <c r="A374" s="252"/>
      <c r="B374" s="260" t="s">
        <v>4</v>
      </c>
      <c r="C374" s="259"/>
      <c r="D374" s="261">
        <f>$D$11</f>
        <v>6000</v>
      </c>
      <c r="E374" s="288" t="s">
        <v>212</v>
      </c>
      <c r="F374" s="325">
        <f>K52</f>
        <v>6.36</v>
      </c>
      <c r="G374" s="263">
        <f>L52</f>
        <v>9</v>
      </c>
      <c r="H374" s="264" t="s">
        <v>47</v>
      </c>
      <c r="I374" s="265">
        <f>CEILING(D374*F374*G374,10)</f>
        <v>343440</v>
      </c>
      <c r="J374" s="179">
        <f>I374/$D$5</f>
        <v>57.24</v>
      </c>
      <c r="K374" s="266">
        <f>I374/$D$4</f>
        <v>343.44</v>
      </c>
      <c r="L374" s="252"/>
      <c r="M374" s="252"/>
      <c r="N374" s="252"/>
    </row>
    <row r="375" spans="1:14" ht="15.6" x14ac:dyDescent="0.6">
      <c r="A375" s="252"/>
      <c r="B375" s="260"/>
      <c r="C375" s="259"/>
      <c r="D375" s="261"/>
      <c r="E375" s="314" t="s">
        <v>214</v>
      </c>
      <c r="F375" s="289"/>
      <c r="G375" s="263"/>
      <c r="H375" s="264"/>
      <c r="I375" s="265"/>
      <c r="J375" s="179"/>
      <c r="K375" s="266"/>
      <c r="L375" s="252"/>
      <c r="M375" s="252"/>
      <c r="N375" s="252"/>
    </row>
    <row r="376" spans="1:14" ht="15.6" x14ac:dyDescent="0.6">
      <c r="A376" s="252"/>
      <c r="B376" s="260" t="s">
        <v>22</v>
      </c>
      <c r="C376" s="259"/>
      <c r="D376" s="261"/>
      <c r="E376" s="327" t="s">
        <v>225</v>
      </c>
      <c r="F376" s="259"/>
      <c r="G376" s="259"/>
      <c r="H376" s="259"/>
      <c r="I376" s="265"/>
      <c r="J376" s="265"/>
      <c r="K376" s="265"/>
      <c r="L376" s="252"/>
      <c r="M376" s="252"/>
      <c r="N376" s="252"/>
    </row>
    <row r="377" spans="1:14" ht="15.6" x14ac:dyDescent="0.6">
      <c r="A377" s="252"/>
      <c r="B377" s="66"/>
      <c r="C377" s="267" t="s">
        <v>19</v>
      </c>
      <c r="D377" s="261">
        <f>D$17+D$11*'Step 3'!G148</f>
        <v>900</v>
      </c>
      <c r="E377" s="328">
        <f>-(D$17-D377)/D$17</f>
        <v>0</v>
      </c>
      <c r="F377" s="346">
        <f>G52</f>
        <v>40</v>
      </c>
      <c r="G377" s="259" t="s">
        <v>55</v>
      </c>
      <c r="H377" s="252"/>
      <c r="I377" s="265">
        <f>CEILING(D377*F377,10)</f>
        <v>36000</v>
      </c>
      <c r="J377" s="179">
        <f t="shared" ref="J377:J378" si="78">I377/$D$5</f>
        <v>6</v>
      </c>
      <c r="K377" s="266">
        <f t="shared" ref="K377:K378" si="79">I377/$D$4</f>
        <v>36</v>
      </c>
      <c r="L377" s="252"/>
      <c r="M377" s="252"/>
      <c r="N377" s="252"/>
    </row>
    <row r="378" spans="1:14" ht="15.6" x14ac:dyDescent="0.6">
      <c r="A378" s="252"/>
      <c r="B378" s="66"/>
      <c r="C378" s="267" t="s">
        <v>215</v>
      </c>
      <c r="D378" s="261">
        <f>D$18+D$12*'Step 3'!G148</f>
        <v>375</v>
      </c>
      <c r="E378" s="328">
        <f>-(D$18-D378)/D$18</f>
        <v>0</v>
      </c>
      <c r="F378" s="346">
        <f>H52</f>
        <v>40</v>
      </c>
      <c r="G378" s="259" t="s">
        <v>55</v>
      </c>
      <c r="H378" s="252"/>
      <c r="I378" s="265">
        <f>CEILING(D378*F378,10)</f>
        <v>15000</v>
      </c>
      <c r="J378" s="179">
        <f t="shared" si="78"/>
        <v>2.5</v>
      </c>
      <c r="K378" s="266">
        <f t="shared" si="79"/>
        <v>15</v>
      </c>
      <c r="L378" s="252"/>
      <c r="M378" s="252"/>
      <c r="N378" s="252"/>
    </row>
    <row r="379" spans="1:14" ht="15.6" x14ac:dyDescent="0.6">
      <c r="A379" s="252"/>
      <c r="B379" s="66"/>
      <c r="C379" s="267" t="s">
        <v>20</v>
      </c>
      <c r="D379" s="261"/>
      <c r="E379" s="326"/>
      <c r="F379" s="326"/>
      <c r="G379" s="326"/>
      <c r="I379" s="127"/>
      <c r="J379" s="127"/>
      <c r="K379" s="127"/>
      <c r="L379" s="252"/>
      <c r="M379" s="252"/>
      <c r="N379" s="252"/>
    </row>
    <row r="380" spans="1:14" ht="15.6" x14ac:dyDescent="0.6">
      <c r="A380" s="252"/>
      <c r="B380" s="66"/>
      <c r="C380" s="273" t="s">
        <v>216</v>
      </c>
      <c r="D380" s="261">
        <f>D$59*D52</f>
        <v>5400</v>
      </c>
      <c r="E380" s="326"/>
      <c r="F380" s="269"/>
      <c r="G380" s="259"/>
      <c r="H380" s="252"/>
      <c r="I380" s="265"/>
      <c r="J380" s="179"/>
      <c r="K380" s="266"/>
      <c r="L380" s="252"/>
      <c r="M380" s="252"/>
      <c r="N380" s="252"/>
    </row>
    <row r="381" spans="1:14" ht="15.6" x14ac:dyDescent="0.6">
      <c r="A381" s="252"/>
      <c r="B381" s="66"/>
      <c r="C381" s="273" t="s">
        <v>98</v>
      </c>
      <c r="D381" s="261">
        <f>-D$11*E52</f>
        <v>-300</v>
      </c>
      <c r="E381" s="326"/>
      <c r="F381" s="269"/>
      <c r="G381" s="259"/>
      <c r="H381" s="252"/>
      <c r="I381" s="265"/>
      <c r="J381" s="179"/>
      <c r="K381" s="266"/>
      <c r="L381" s="252"/>
      <c r="M381" s="252"/>
      <c r="N381" s="252"/>
    </row>
    <row r="382" spans="1:14" ht="15.6" x14ac:dyDescent="0.6">
      <c r="A382" s="252"/>
      <c r="B382" s="66"/>
      <c r="C382" s="273" t="s">
        <v>222</v>
      </c>
      <c r="D382" s="261">
        <f>-D377</f>
        <v>-900</v>
      </c>
      <c r="E382" s="326"/>
      <c r="F382" s="269"/>
      <c r="G382" s="259"/>
      <c r="H382" s="252"/>
      <c r="I382" s="265"/>
      <c r="J382" s="179"/>
      <c r="K382" s="266"/>
      <c r="L382" s="252"/>
      <c r="M382" s="252"/>
      <c r="N382" s="252"/>
    </row>
    <row r="383" spans="1:14" ht="15.6" x14ac:dyDescent="0.6">
      <c r="A383" s="252"/>
      <c r="B383" s="66"/>
      <c r="C383" s="273" t="s">
        <v>210</v>
      </c>
      <c r="D383" s="261">
        <f>-D$12*F52</f>
        <v>-50</v>
      </c>
      <c r="E383" s="326"/>
      <c r="F383" s="269"/>
      <c r="G383" s="259"/>
      <c r="H383" s="252"/>
      <c r="I383" s="265"/>
      <c r="J383" s="179"/>
      <c r="K383" s="266"/>
      <c r="L383" s="252"/>
      <c r="M383" s="252"/>
      <c r="N383" s="252"/>
    </row>
    <row r="384" spans="1:14" ht="15.6" x14ac:dyDescent="0.6">
      <c r="A384" s="252"/>
      <c r="B384" s="66"/>
      <c r="C384" s="273" t="s">
        <v>217</v>
      </c>
      <c r="D384" s="285">
        <f>-D378</f>
        <v>-375</v>
      </c>
      <c r="E384" s="326"/>
      <c r="F384" s="269"/>
      <c r="G384" s="259"/>
      <c r="H384" s="252"/>
      <c r="I384" s="265"/>
      <c r="J384" s="179"/>
      <c r="K384" s="266"/>
      <c r="L384" s="252"/>
      <c r="M384" s="252"/>
      <c r="N384" s="252"/>
    </row>
    <row r="385" spans="1:14" ht="15.6" x14ac:dyDescent="0.6">
      <c r="A385" s="252"/>
      <c r="B385" s="66"/>
      <c r="C385" s="267"/>
      <c r="D385" s="261">
        <f>SUM(D380:D384)</f>
        <v>3775</v>
      </c>
      <c r="E385" s="329">
        <f>-(D$19-D385)/D$19</f>
        <v>0</v>
      </c>
      <c r="F385" s="263">
        <f>I52</f>
        <v>60</v>
      </c>
      <c r="G385" s="259" t="s">
        <v>55</v>
      </c>
      <c r="H385" s="252"/>
      <c r="I385" s="265">
        <f>D385*F385</f>
        <v>226500</v>
      </c>
      <c r="J385" s="179">
        <f>I385/$D$5</f>
        <v>37.75</v>
      </c>
      <c r="K385" s="266">
        <f>I385/$D$4</f>
        <v>226.5</v>
      </c>
      <c r="L385" s="252"/>
      <c r="M385" s="252"/>
      <c r="N385" s="252"/>
    </row>
    <row r="386" spans="1:14" ht="15.6" x14ac:dyDescent="0.6">
      <c r="A386" s="252"/>
      <c r="B386" s="66"/>
      <c r="C386" s="267" t="s">
        <v>21</v>
      </c>
      <c r="D386" s="261">
        <f>D$25</f>
        <v>12</v>
      </c>
      <c r="E386" s="268" t="s">
        <v>57</v>
      </c>
      <c r="F386" s="263">
        <f>J52</f>
        <v>40</v>
      </c>
      <c r="G386" s="259" t="s">
        <v>55</v>
      </c>
      <c r="H386" s="252"/>
      <c r="I386" s="270">
        <f>CEILING(D386*F386,10)</f>
        <v>480</v>
      </c>
      <c r="J386" s="271">
        <f t="shared" ref="J386" si="80">I386/$D$5</f>
        <v>0.08</v>
      </c>
      <c r="K386" s="272">
        <f t="shared" ref="K386:K387" si="81">I386/$D$4</f>
        <v>0.48</v>
      </c>
      <c r="L386" s="252"/>
      <c r="M386" s="252"/>
      <c r="N386" s="252"/>
    </row>
    <row r="387" spans="1:14" ht="15.6" x14ac:dyDescent="0.6">
      <c r="A387" s="252"/>
      <c r="B387" s="66"/>
      <c r="C387" s="267"/>
      <c r="D387" s="267"/>
      <c r="E387" s="268"/>
      <c r="F387" s="268"/>
      <c r="G387" s="259"/>
      <c r="H387" s="259"/>
      <c r="I387" s="265">
        <f>SUM(I377:I386)</f>
        <v>277980</v>
      </c>
      <c r="J387" s="179">
        <f>I387/$D$5</f>
        <v>46.33</v>
      </c>
      <c r="K387" s="266">
        <f t="shared" si="81"/>
        <v>277.98</v>
      </c>
      <c r="L387" s="252"/>
      <c r="M387" s="252"/>
      <c r="N387" s="252"/>
    </row>
    <row r="388" spans="1:14" ht="15.6" x14ac:dyDescent="0.6">
      <c r="A388" s="252"/>
      <c r="B388" s="260" t="s">
        <v>28</v>
      </c>
      <c r="C388" s="273"/>
      <c r="D388" s="273"/>
      <c r="E388" s="268"/>
      <c r="F388" s="268"/>
      <c r="G388" s="259"/>
      <c r="H388" s="259"/>
      <c r="I388" s="265"/>
      <c r="J388" s="265"/>
      <c r="K388" s="265"/>
      <c r="L388" s="252"/>
      <c r="M388" s="252"/>
      <c r="N388" s="252"/>
    </row>
    <row r="389" spans="1:14" ht="15.6" x14ac:dyDescent="0.6">
      <c r="A389" s="252"/>
      <c r="B389" s="274"/>
      <c r="C389" s="267" t="s">
        <v>1</v>
      </c>
      <c r="D389" s="261" t="s">
        <v>99</v>
      </c>
      <c r="E389" s="268"/>
      <c r="F389" s="268"/>
      <c r="G389" s="259"/>
      <c r="H389" s="259"/>
      <c r="I389" s="266">
        <v>0</v>
      </c>
      <c r="J389" s="179">
        <f t="shared" ref="J389:J392" si="82">I389/$D$5</f>
        <v>0</v>
      </c>
      <c r="K389" s="266">
        <f t="shared" ref="K389:K392" si="83">I389/$D$4</f>
        <v>0</v>
      </c>
      <c r="L389" s="252"/>
      <c r="M389" s="252"/>
      <c r="N389" s="252"/>
    </row>
    <row r="390" spans="1:14" ht="15.6" x14ac:dyDescent="0.6">
      <c r="A390" s="252"/>
      <c r="B390" s="274"/>
      <c r="C390" s="267" t="s">
        <v>133</v>
      </c>
      <c r="D390" s="261" t="s">
        <v>134</v>
      </c>
      <c r="E390" s="268"/>
      <c r="F390" s="268"/>
      <c r="G390" s="259"/>
      <c r="H390" s="259"/>
      <c r="I390" s="266">
        <v>0</v>
      </c>
      <c r="J390" s="179">
        <f t="shared" si="82"/>
        <v>0</v>
      </c>
      <c r="K390" s="266">
        <f t="shared" si="83"/>
        <v>0</v>
      </c>
      <c r="L390" s="252"/>
      <c r="M390" s="252"/>
      <c r="N390" s="252"/>
    </row>
    <row r="391" spans="1:14" ht="15.6" x14ac:dyDescent="0.6">
      <c r="A391" s="252"/>
      <c r="B391" s="274"/>
      <c r="C391" s="267" t="s">
        <v>2</v>
      </c>
      <c r="D391" s="261">
        <f>D$25</f>
        <v>12</v>
      </c>
      <c r="E391" s="268" t="s">
        <v>57</v>
      </c>
      <c r="F391" s="269">
        <f>F$25</f>
        <v>800</v>
      </c>
      <c r="G391" s="259" t="s">
        <v>58</v>
      </c>
      <c r="H391" s="259"/>
      <c r="I391" s="272">
        <f>CEILING(-D391*F391,10)</f>
        <v>-9600</v>
      </c>
      <c r="J391" s="271">
        <f t="shared" si="82"/>
        <v>-1.6</v>
      </c>
      <c r="K391" s="272">
        <f t="shared" si="83"/>
        <v>-9.6</v>
      </c>
      <c r="L391" s="252"/>
      <c r="M391" s="252"/>
      <c r="N391" s="252"/>
    </row>
    <row r="392" spans="1:14" ht="15.6" x14ac:dyDescent="0.6">
      <c r="A392" s="252"/>
      <c r="B392" s="66"/>
      <c r="C392" s="273"/>
      <c r="D392" s="273"/>
      <c r="E392" s="273"/>
      <c r="F392" s="273"/>
      <c r="G392" s="273"/>
      <c r="H392" s="273"/>
      <c r="I392" s="266">
        <f>SUM(I389:I391)</f>
        <v>-9600</v>
      </c>
      <c r="J392" s="179">
        <f t="shared" si="82"/>
        <v>-1.6</v>
      </c>
      <c r="K392" s="266">
        <f t="shared" si="83"/>
        <v>-9.6</v>
      </c>
      <c r="L392" s="252"/>
      <c r="M392" s="252"/>
      <c r="N392" s="252"/>
    </row>
    <row r="393" spans="1:14" ht="15.6" x14ac:dyDescent="0.6">
      <c r="A393" s="252"/>
      <c r="B393" s="275" t="s">
        <v>0</v>
      </c>
      <c r="C393" s="257"/>
      <c r="D393" s="257"/>
      <c r="E393" s="257"/>
      <c r="F393" s="257"/>
      <c r="G393" s="257"/>
      <c r="H393" s="257"/>
      <c r="I393" s="276">
        <f>I374+I387+I392</f>
        <v>611820</v>
      </c>
      <c r="J393" s="277">
        <f>J374+J387+J392</f>
        <v>101.97</v>
      </c>
      <c r="K393" s="278">
        <f>K374+K387+K392</f>
        <v>611.82000000000005</v>
      </c>
      <c r="L393" s="252"/>
      <c r="M393" s="252"/>
      <c r="N393" s="252"/>
    </row>
    <row r="394" spans="1:14" ht="15.6" x14ac:dyDescent="0.6">
      <c r="A394" s="252"/>
      <c r="B394" s="66" t="s">
        <v>23</v>
      </c>
      <c r="C394" s="259"/>
      <c r="D394" s="259"/>
      <c r="E394" s="259"/>
      <c r="F394" s="259"/>
      <c r="G394" s="259"/>
      <c r="H394" s="259"/>
      <c r="I394" s="198" t="s">
        <v>48</v>
      </c>
      <c r="J394" s="198" t="s">
        <v>49</v>
      </c>
      <c r="K394" s="198" t="s">
        <v>50</v>
      </c>
      <c r="L394" s="252"/>
      <c r="M394" s="252"/>
      <c r="N394" s="252"/>
    </row>
    <row r="395" spans="1:14" ht="15.6" x14ac:dyDescent="0.6">
      <c r="A395" s="252"/>
      <c r="B395" s="260" t="s">
        <v>3</v>
      </c>
      <c r="C395" s="259"/>
      <c r="D395" s="259"/>
      <c r="E395" s="259"/>
      <c r="F395" s="259"/>
      <c r="G395" s="259"/>
      <c r="L395" s="252"/>
      <c r="M395" s="252"/>
      <c r="N395" s="252"/>
    </row>
    <row r="396" spans="1:14" ht="15.6" x14ac:dyDescent="0.6">
      <c r="A396" s="252"/>
      <c r="B396" s="260"/>
      <c r="C396" s="259" t="s">
        <v>224</v>
      </c>
      <c r="D396" s="261">
        <f>D$15</f>
        <v>10185</v>
      </c>
      <c r="E396" s="262" t="s">
        <v>57</v>
      </c>
      <c r="F396" s="263">
        <f>F$30</f>
        <v>3.5</v>
      </c>
      <c r="G396" s="264" t="s">
        <v>204</v>
      </c>
      <c r="H396" s="259"/>
      <c r="I396" s="265">
        <f>CEILING(D396*F396,10)</f>
        <v>35650</v>
      </c>
      <c r="J396" s="179">
        <f>I396/$D$5</f>
        <v>5.9416666666666664</v>
      </c>
      <c r="K396" s="266">
        <f>I396/$D$4</f>
        <v>35.65</v>
      </c>
      <c r="L396" s="252"/>
      <c r="M396" s="252"/>
      <c r="N396" s="252"/>
    </row>
    <row r="397" spans="1:14" ht="15.6" x14ac:dyDescent="0.6">
      <c r="A397" s="252"/>
      <c r="B397" s="260"/>
      <c r="C397" s="259" t="s">
        <v>135</v>
      </c>
      <c r="D397" s="261">
        <f>D380</f>
        <v>5400</v>
      </c>
      <c r="E397" s="262" t="s">
        <v>57</v>
      </c>
      <c r="F397" s="263">
        <f>F$31</f>
        <v>3.5</v>
      </c>
      <c r="G397" s="264" t="s">
        <v>204</v>
      </c>
      <c r="H397" s="259"/>
      <c r="I397" s="265">
        <f>CEILING(D397*F397,10)</f>
        <v>18900</v>
      </c>
      <c r="J397" s="179">
        <f>I397/$D$5</f>
        <v>3.15</v>
      </c>
      <c r="K397" s="266">
        <f>I397/$D$4</f>
        <v>18.899999999999999</v>
      </c>
      <c r="L397" s="252"/>
      <c r="M397" s="252"/>
      <c r="N397" s="252"/>
    </row>
    <row r="398" spans="1:14" ht="15.6" x14ac:dyDescent="0.6">
      <c r="A398" s="252"/>
      <c r="B398" s="260" t="s">
        <v>97</v>
      </c>
      <c r="C398" s="259"/>
      <c r="D398" s="261">
        <f>D396</f>
        <v>10185</v>
      </c>
      <c r="E398" s="262" t="s">
        <v>57</v>
      </c>
      <c r="F398" s="263">
        <f>I398/D398</f>
        <v>0</v>
      </c>
      <c r="G398" s="264" t="s">
        <v>204</v>
      </c>
      <c r="H398" s="259"/>
      <c r="I398" s="265">
        <f>'Step 3'!G95</f>
        <v>0</v>
      </c>
      <c r="J398" s="179">
        <f t="shared" ref="J398:J402" si="84">I398/$D$5</f>
        <v>0</v>
      </c>
      <c r="K398" s="266">
        <f t="shared" ref="K398:K402" si="85">I398/$D$4</f>
        <v>0</v>
      </c>
      <c r="L398" s="252"/>
      <c r="M398" s="252"/>
      <c r="N398" s="252"/>
    </row>
    <row r="399" spans="1:14" ht="15.6" x14ac:dyDescent="0.6">
      <c r="B399" s="260" t="s">
        <v>24</v>
      </c>
      <c r="C399" s="259"/>
      <c r="D399" s="261">
        <f>D396</f>
        <v>10185</v>
      </c>
      <c r="E399" s="262" t="str">
        <f>E396</f>
        <v>hd @</v>
      </c>
      <c r="F399" s="263">
        <f>F$33</f>
        <v>6.5</v>
      </c>
      <c r="G399" s="264" t="s">
        <v>204</v>
      </c>
      <c r="H399" s="259"/>
      <c r="I399" s="265">
        <f>CEILING(D399*F399,10)</f>
        <v>66210</v>
      </c>
      <c r="J399" s="179">
        <f t="shared" si="84"/>
        <v>11.035</v>
      </c>
      <c r="K399" s="266">
        <f t="shared" si="85"/>
        <v>66.209999999999994</v>
      </c>
    </row>
    <row r="400" spans="1:14" ht="15.6" x14ac:dyDescent="0.6">
      <c r="B400" s="260" t="s">
        <v>25</v>
      </c>
      <c r="C400" s="259"/>
      <c r="D400" s="279">
        <f>D374*F374/170</f>
        <v>224.47058823529412</v>
      </c>
      <c r="E400" s="262" t="s">
        <v>59</v>
      </c>
      <c r="F400" s="263">
        <f>F$34</f>
        <v>20</v>
      </c>
      <c r="G400" s="264" t="s">
        <v>60</v>
      </c>
      <c r="H400" s="259"/>
      <c r="I400" s="265">
        <f>CEILING(D400*F400,10)</f>
        <v>4490</v>
      </c>
      <c r="J400" s="179">
        <f t="shared" si="84"/>
        <v>0.74833333333333329</v>
      </c>
      <c r="K400" s="266">
        <f t="shared" si="85"/>
        <v>4.49</v>
      </c>
    </row>
    <row r="401" spans="2:11" ht="15.6" x14ac:dyDescent="0.6">
      <c r="B401" s="260" t="s">
        <v>26</v>
      </c>
      <c r="C401" s="259"/>
      <c r="D401" s="259"/>
      <c r="E401" s="259"/>
      <c r="F401" s="263">
        <f>F$35</f>
        <v>15</v>
      </c>
      <c r="G401" s="264" t="s">
        <v>60</v>
      </c>
      <c r="H401" s="259"/>
      <c r="I401" s="265">
        <f>CEILING(D400*F401,10)</f>
        <v>3370</v>
      </c>
      <c r="J401" s="179">
        <f t="shared" si="84"/>
        <v>0.56166666666666665</v>
      </c>
      <c r="K401" s="266">
        <f t="shared" si="85"/>
        <v>3.37</v>
      </c>
    </row>
    <row r="402" spans="2:11" ht="15.6" x14ac:dyDescent="0.6">
      <c r="B402" s="260" t="s">
        <v>27</v>
      </c>
      <c r="C402" s="259"/>
      <c r="D402" s="261">
        <f>D377+D378+D385+D386+D391</f>
        <v>5074</v>
      </c>
      <c r="E402" s="268" t="s">
        <v>57</v>
      </c>
      <c r="F402" s="263">
        <f>F$36</f>
        <v>2</v>
      </c>
      <c r="G402" s="264" t="s">
        <v>61</v>
      </c>
      <c r="H402" s="259"/>
      <c r="I402" s="265">
        <f>CEILING(D402*F402,10)</f>
        <v>10150</v>
      </c>
      <c r="J402" s="179">
        <f t="shared" si="84"/>
        <v>1.6916666666666667</v>
      </c>
      <c r="K402" s="266">
        <f t="shared" si="85"/>
        <v>10.15</v>
      </c>
    </row>
    <row r="403" spans="2:11" ht="15.6" x14ac:dyDescent="0.6">
      <c r="B403" s="275" t="s">
        <v>41</v>
      </c>
      <c r="C403" s="257"/>
      <c r="D403" s="257"/>
      <c r="E403" s="280"/>
      <c r="F403" s="257"/>
      <c r="G403" s="257"/>
      <c r="H403" s="257"/>
      <c r="I403" s="276">
        <f>SUM(I396:I402)</f>
        <v>138770</v>
      </c>
      <c r="J403" s="277">
        <f>SUM(J396:J402)</f>
        <v>23.128333333333334</v>
      </c>
      <c r="K403" s="278">
        <f>SUM(K396:K402)</f>
        <v>138.76999999999998</v>
      </c>
    </row>
    <row r="404" spans="2:11" ht="15.6" x14ac:dyDescent="0.6">
      <c r="B404" s="281" t="s">
        <v>62</v>
      </c>
      <c r="C404" s="257"/>
      <c r="D404" s="257"/>
      <c r="E404" s="280"/>
      <c r="F404" s="257"/>
      <c r="G404" s="257"/>
      <c r="H404" s="257"/>
      <c r="I404" s="276">
        <f>I393-I403</f>
        <v>473050</v>
      </c>
      <c r="J404" s="277">
        <f>J393-J403</f>
        <v>78.841666666666669</v>
      </c>
      <c r="K404" s="278">
        <f>K393-K403</f>
        <v>473.05000000000007</v>
      </c>
    </row>
    <row r="405" spans="2:11" ht="15.6" x14ac:dyDescent="0.6">
      <c r="B405" s="282"/>
      <c r="C405" s="255"/>
      <c r="D405" s="255"/>
      <c r="E405" s="255"/>
      <c r="F405" s="255"/>
      <c r="G405" s="255"/>
      <c r="H405" s="255"/>
      <c r="I405" s="255"/>
      <c r="J405" s="255"/>
      <c r="K405" s="2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Step 1</vt:lpstr>
      <vt:lpstr>Step 2</vt:lpstr>
      <vt:lpstr>Step 3</vt:lpstr>
      <vt:lpstr>Step 4</vt:lpstr>
      <vt:lpstr>Worksheet (1)</vt:lpstr>
      <vt:lpstr>Worksheet (2)</vt:lpstr>
      <vt:lpstr>Worksheet (3)</vt:lpstr>
      <vt:lpstr>'Step 3'!Print_Area</vt:lpstr>
      <vt:lpstr>'Step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Davey &amp; Maynard</dc:creator>
  <cp:lastModifiedBy>Ryan Moore</cp:lastModifiedBy>
  <cp:lastPrinted>2015-02-09T05:51:43Z</cp:lastPrinted>
  <dcterms:created xsi:type="dcterms:W3CDTF">1998-12-04T05:02:09Z</dcterms:created>
  <dcterms:modified xsi:type="dcterms:W3CDTF">2017-03-22T04:04:59Z</dcterms:modified>
</cp:coreProperties>
</file>